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comments8.xml" ContentType="application/vnd.openxmlformats-officedocument.spreadsheetml.comments+xml"/>
  <Override PartName="/xl/theme/theme1.xml" ContentType="application/vnd.openxmlformats-officedocument.theme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charts/colors2.xml" ContentType="application/vnd.ms-office.chartcolorstyle+xml"/>
  <Override PartName="/xl/charts/style3.xml" ContentType="application/vnd.ms-office.chartstyle+xml"/>
  <Override PartName="/xl/charts/style1.xml" ContentType="application/vnd.ms-office.chartstyle+xml"/>
  <Override PartName="/xl/charts/colors3.xml" ContentType="application/vnd.ms-office.chartcolorstyle+xml"/>
  <Override PartName="/xl/workbook.xml" ContentType="application/vnd.openxmlformats-officedocument.spreadsheetml.sheet.main+xml"/>
  <Override PartName="/xl/comments7.xml" ContentType="application/vnd.openxmlformats-officedocument.spreadsheetml.comments+xml"/>
  <Override PartName="/xl/comments3.xml" ContentType="application/vnd.openxmlformats-officedocument.spreadsheetml.comments+xml"/>
  <Override PartName="/xl/comments10.xml" ContentType="application/vnd.openxmlformats-officedocument.spreadsheetml.comment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16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7.xml" ContentType="application/vnd.openxmlformats-officedocument.spreadsheetml.worksheet+xml"/>
  <Override PartName="/xl/worksheets/sheet9.xml" ContentType="application/vnd.openxmlformats-officedocument.spreadsheetml.worksheet+xml"/>
  <Override PartName="/xl/comments9.xml" ContentType="application/vnd.openxmlformats-officedocument.spreadsheetml.comment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vmlDrawing3.vml" ContentType="application/vnd.openxmlformats-officedocument.vmlDrawing"/>
  <Override PartName="/xl/drawings/vmlDrawing2.vml" ContentType="application/vnd.openxmlformats-officedocument.vmlDrawing"/>
  <Override PartName="/xl/drawings/vmlDrawing4.vml" ContentType="application/vnd.openxmlformats-officedocument.vmlDrawing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vmlDrawing5.vml" ContentType="application/vnd.openxmlformats-officedocument.vmlDrawing"/>
  <Override PartName="/xl/drawings/vmlDrawing6.vml" ContentType="application/vnd.openxmlformats-officedocument.vmlDrawing"/>
  <Override PartName="/xl/drawings/vmlDrawing7.vml" ContentType="application/vnd.openxmlformats-officedocument.vmlDrawing"/>
  <Override PartName="/xl/comments6.xml" ContentType="application/vnd.openxmlformats-officedocument.spreadsheetml.comments+xml"/>
  <Override PartName="/xl/comments4.xml" ContentType="application/vnd.openxmlformats-officedocument.spreadsheetml.comment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" sheetId="1" state="visible" r:id="rId3"/>
    <sheet name="SZYBKI WYNIK" sheetId="2" state="visible" r:id="rId4"/>
    <sheet name="PROFIL FIRMY" sheetId="3" state="visible" r:id="rId5"/>
    <sheet name="PROCESY" sheetId="4" state="visible" r:id="rId6"/>
    <sheet name="SYSTEMY I ZALEŻNOŚCI" sheetId="5" state="visible" r:id="rId7"/>
    <sheet name="SCENARIUSZE" sheetId="6" state="visible" r:id="rId8"/>
    <sheet name="KOSZTY SZCZEGÓŁOWE" sheetId="7" state="visible" r:id="rId9"/>
    <sheet name="DANE I ODTWARZANIE" sheetId="8" state="visible" r:id="rId10"/>
    <sheet name="KLIENT PRAWO CYBER" sheetId="9" state="visible" r:id="rId11"/>
    <sheet name="RYZYKO I ROI" sheetId="10" state="visible" r:id="rId12"/>
    <sheet name="DASHBOARD" sheetId="11" state="visible" r:id="rId13"/>
    <sheet name="RAPORT 1 STRONA" sheetId="12" state="visible" r:id="rId14"/>
    <sheet name="SŁOWNIK I METODY" sheetId="13" state="visible" r:id="rId15"/>
    <sheet name="ŹRÓDŁA I ZAŁOŻENIA" sheetId="14" state="visible" r:id="rId16"/>
    <sheet name="PRZYKŁAD" sheetId="15" state="visible" r:id="rId17"/>
    <sheet name="QA" sheetId="16" state="visible" r:id="rId18"/>
    <sheet name="LISTY POMOCNICZE" sheetId="17" state="visible" r:id="rId19"/>
  </sheets>
  <definedNames>
    <definedName function="false" hidden="false" localSheetId="10" name="_xlnm.Print_Area" vbProcedure="false">DASHBOARD!$A$1:$E$68</definedName>
    <definedName function="false" hidden="false" localSheetId="2" name="_xlnm.Print_Area" vbProcedure="false">'PROFIL FIRMY'!$A$1:$G$32</definedName>
    <definedName function="false" hidden="false" localSheetId="14" name="_xlnm.Print_Area" vbProcedure="false">PRZYKŁAD!$A$1:$F$32</definedName>
    <definedName function="false" hidden="false" localSheetId="15" name="_xlnm.Print_Area" vbProcedure="false">QA!$A$1:$H$36</definedName>
    <definedName function="false" hidden="false" localSheetId="11" name="_xlnm.Print_Area" vbProcedure="false">'RAPORT 1 STRONA'!$A$1:$F$49</definedName>
    <definedName function="false" hidden="false" localSheetId="9" name="_xlnm.Print_Area" vbProcedure="false">'RYZYKO I ROI'!$A$1:$T$51</definedName>
    <definedName function="false" hidden="false" localSheetId="0" name="_xlnm.Print_Area" vbProcedure="false">START!$A$1:$F$43</definedName>
    <definedName function="false" hidden="false" localSheetId="1" name="_xlnm.Print_Area" vbProcedure="false">'SZYBKI WYNIK'!$A$1:$G$42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0.xml><?xml version="1.0" encoding="utf-8"?>
<comments xmlns="http://schemas.openxmlformats.org/spreadsheetml/2006/main" xmlns:xdr="http://schemas.openxmlformats.org/drawingml/2006/spreadsheetDrawing">
  <authors>
    <author>NexaIT</author>
  </authors>
  <commentList>
    <comment ref="L8" authorId="0">
      <text>
        <r>
          <rPr>
            <sz val="10"/>
            <rFont val="Arial"/>
            <family val="2"/>
          </rPr>
          <t xml:space="preserve">Trzy niezależne dźwignie:
• Redukcja częstotliwości — zdarzenie zachodzi rzadziej (np. redundantne łącze).
• Redukcja czasu przestoju — zdarzenie trwa krócej (np. testowany backup, monitoring, SLA). Działa proporcjonalnie tylko na część kosztu zależną od czasu, czyli na utraconą marżę.
• Redukcja pozostałego wpływu — zmniejsza koszty ryczałtowe (np. tańsze odtworzenie).
Nie zgaduj. Jeśli nie wiesz, zostaw 0% i pokaż to jako lukę danych.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NexaIT</author>
  </authors>
  <commentList>
    <comment ref="D18" authorId="0">
      <text>
        <r>
          <rPr>
            <sz val="10"/>
            <rFont val="Arial"/>
            <family val="2"/>
          </rPr>
          <t xml:space="preserve">Pełny koszt pracodawcy = wynagrodzenie brutto + składki po stronie pracodawcy + pozostałe narzuty, podzielone przez liczbę godzin pracy.
Składniki narzutu (ZUS, stan na 2026): emerytalna 9,76%, rentowa 6,50%, wypadkowa zmienna (referencyjnie 1,67%), Fundusz Pracy 2,45%, FGŚP 0,10%.
Stopa wypadkowa zależy od PKD i wielkości płatnika — sprawdź własną.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NexaIT</author>
  </authors>
  <commentList>
    <comment ref="G6" authorId="0">
      <text>
        <r>
          <rPr>
            <sz val="10"/>
            <rFont val="Arial"/>
            <family val="2"/>
          </rPr>
          <t xml:space="preserve">Wybierz jedną metodę:
• Przychodowa — przychód/h × marża pokrycia
• Jednostkowa — jednostki/h × marża na jednostkę
• Billable — udział godzin billable × marża na godzinę billable
• Ręczna — wpisujesz wpływ na marżę wprost
• Nie dotyczy — proces bez przychodu; liczona będzie tylko utracona zdolność operacyjna</t>
        </r>
      </text>
    </comment>
    <comment ref="U6" authorId="0">
      <text>
        <r>
          <rPr>
            <sz val="10"/>
            <rFont val="Arial"/>
            <family val="2"/>
          </rPr>
          <t xml:space="preserve">MTPD / MAO — po jakim czasie skutki stają się nieakceptowalne dla organizacji.
RTO — docelowy czas przywrócenia zasobu; powinien być krótszy niż MTPD.
RPO — do jakiego punktu w czasie da się odtworzyć dane (dopuszczalna utrata danych).
Definicje: NIST SP 800-34 Rev.1 (MTD/RTO/RPO), ISO 22301 (MTPD, MBCO).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NexaIT</author>
  </authors>
  <commentList>
    <comment ref="F7" authorId="0">
      <text>
        <r>
          <rPr>
            <sz val="10"/>
            <rFont val="Arial"/>
            <family val="2"/>
          </rPr>
          <t xml:space="preserve">Wybierz JEDNĄ miarę i trzymaj się jej:
• „Zdarzeń na rok” — np. 2 oznacza dwa takie zdarzenia rocznie.
• „Prawdopodobieństwo w roku” — np. 25% oznacza jedno zdarzenie raz na cztery lata.
Mieszanie obu miar zawyża roczną ekspozycję. Karta QA to sprawdza.</t>
        </r>
      </text>
    </comment>
    <comment ref="G34" authorId="0">
      <text>
        <r>
          <rPr>
            <sz val="10"/>
            <rFont val="Arial"/>
            <family val="2"/>
          </rPr>
          <t xml:space="preserve">Utrata wydajności: 100% = proces całkowicie stoi; 40% = zespół pracuje, ale wolniej.
Wydajność obejścia: jaką część pracy ratuje obejście (papier, telefon, druga lokalizacja, tryb offline systemu).
Mnożnik efektywny = czas × utrata wydajności × (1 − wydajność obejścia).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NexaIT</author>
  </authors>
  <commentList>
    <comment ref="F7" authorId="0">
      <text>
        <r>
          <rPr>
            <sz val="10"/>
            <rFont val="Arial"/>
            <family val="2"/>
          </rPr>
          <t xml:space="preserve">GOTÓWKA — pieniądze, które dodatkowo wypłyną z firmy.
P&amp;L — niegotówkowy skutek wyniku (np. odpis zniszczonego materiału).
ZDOLNOŚĆ — opłacony, ale niewykorzystany czas ludzi. NIE wchodzi do P&amp;L.
WARUNKOWA — może wystąpić: Ilość = kwota ekspozycji, Stawka = prawdopodobieństwo.
ODZYSK — potencjalny zwrot. Pokazywany osobno, nigdy nie potrącany od wyniku.</t>
        </r>
      </text>
    </comment>
    <comment ref="I7" authorId="0">
      <text>
        <r>
          <rPr>
            <sz val="10"/>
            <rFont val="Arial"/>
            <family val="2"/>
          </rPr>
          <t xml:space="preserve">Puste pole „niska” lub „wysoka” oznacza, że przyjmujemy wartość bazową. Puste pole bazowe przy „Wchodzi do wyniku = TAK” to BRAK DANYCH — karta QA to zliczy.</t>
        </r>
      </text>
    </comment>
    <comment ref="R7" authorId="0">
      <text>
        <r>
          <rPr>
            <sz val="10"/>
            <rFont val="Arial"/>
            <family val="2"/>
          </rPr>
          <t xml:space="preserve">Grupa wykluczająca: wpisz tę samą etykietę (np. „kara-Klient-A”) w wierszach, które opisują TĘ SAMĄ stratę w różny sposób. Karta QA zgłosi błąd, jeśli więcej niż jeden wiersz z tej samej grupy ma „Wchodzi do wyniku = TAK”.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NexaIT</author>
  </authors>
  <commentList>
    <comment ref="N8" authorId="0">
      <text>
        <r>
          <rPr>
            <sz val="10"/>
            <rFont val="Arial"/>
            <family val="2"/>
          </rPr>
          <t xml:space="preserve">Praca własnych ludzi nad odtworzeniem danych to NORMALNE wynagrodzenie, czyli utracona zdolność operacyjna — nie nowy wydatek. Wybierz GOTÓWKA tylko wtedy, gdy praca odbywa się w nadgodzinach albo wykonuje ją podmiot zewnętrzny.</t>
        </r>
      </text>
    </comment>
  </commentList>
</comments>
</file>

<file path=xl/comments9.xml><?xml version="1.0" encoding="utf-8"?>
<comments xmlns="http://schemas.openxmlformats.org/spreadsheetml/2006/main" xmlns:xdr="http://schemas.openxmlformats.org/drawingml/2006/spreadsheetDrawing">
  <authors>
    <author>NexaIT</author>
  </authors>
  <commentList>
    <comment ref="I9" authorId="0">
      <text>
        <r>
          <rPr>
            <sz val="10"/>
            <rFont val="Arial"/>
            <family val="2"/>
          </rPr>
          <t xml:space="preserve">Dla pozycji WARUNKOWA prawdopodobieństwo jest obowiązkowe. Puste pole oznacza wynik 0 i ostrzeżenie na karcie QA — świadomie, żeby nie doliczać ekspozycji „na wszelki wypadek”.
Dla pozycji GOTÓWKA puste pole oznacza 100% (koszt już poniesiony lub pewny).</t>
        </r>
      </text>
    </comment>
  </commentList>
</comments>
</file>

<file path=xl/sharedStrings.xml><?xml version="1.0" encoding="utf-8"?>
<sst xmlns="http://schemas.openxmlformats.org/spreadsheetml/2006/main" count="1984" uniqueCount="1213">
  <si>
    <t xml:space="preserve">KALKULATOR REALNYCH KOSZTÓW PRZESTOJÓW IT</t>
  </si>
  <si>
    <t xml:space="preserve">Ile naprawdę kosztuje Twoją firmę godzina, w której IT nie działa.</t>
  </si>
  <si>
    <t xml:space="preserve">Wersja 1.0 · metodologia z 31.07.2026 · materiał NexaIT · waluta PLN</t>
  </si>
  <si>
    <t xml:space="preserve">  WYBIERZ TRYB PRACY</t>
  </si>
  <si>
    <t xml:space="preserve">TRYB SZYBKI — około 5 minut</t>
  </si>
  <si>
    <t xml:space="preserve">TRYB ZAAWANSOWANY — 30–90 minut</t>
  </si>
  <si>
    <t xml:space="preserve">11 pól. Dostajesz minimalny, obronny koszt jednego przestoju w trzech wariantach oraz listę tego, czego wynik jeszcze nie obejmuje.
→ karta SZYBKI WYNIK</t>
  </si>
  <si>
    <t xml:space="preserve">Pełny model: profil firmy, procesy, systemy, 8 scenariuszy po 7 faz, 120 pozycji kosztowych, dane i odtwarzanie, ekspozycje warunkowe, roczna ekspozycja i ROI.
→ zacznij od karty PROFIL FIRMY</t>
  </si>
  <si>
    <t xml:space="preserve">  MAPA SKOROSZYTU</t>
  </si>
  <si>
    <t xml:space="preserve">SZYBKI WYNIK</t>
  </si>
  <si>
    <t xml:space="preserve">minimalny obronny koszt w 11 polach</t>
  </si>
  <si>
    <t xml:space="preserve">RYZYKO I ROI</t>
  </si>
  <si>
    <t xml:space="preserve">roczna ekspozycja, wariant przed/po, ROI, payback, odzyski</t>
  </si>
  <si>
    <t xml:space="preserve">PROFIL FIRMY</t>
  </si>
  <si>
    <t xml:space="preserve">godziny pracy, koszt godziny pracodawcy, podstawa netto/brutto</t>
  </si>
  <si>
    <t xml:space="preserve">DASHBOARD</t>
  </si>
  <si>
    <t xml:space="preserve">wynik, przedział, drivery, krzywa czasu, wrażliwość</t>
  </si>
  <si>
    <t xml:space="preserve">PROCESY</t>
  </si>
  <si>
    <t xml:space="preserve">co robi firma, jak wyceniamy proces, MTPD / RTO / RPO</t>
  </si>
  <si>
    <t xml:space="preserve">RAPORT 1 STRONA</t>
  </si>
  <si>
    <t xml:space="preserve">gotowe A4 do wydruku lub PDF</t>
  </si>
  <si>
    <t xml:space="preserve">SYSTEMY I ZALEŻNOŚCI</t>
  </si>
  <si>
    <t xml:space="preserve">co od czego zależy, redundancja, obejścia</t>
  </si>
  <si>
    <t xml:space="preserve">SŁOWNIK I METODY</t>
  </si>
  <si>
    <t xml:space="preserve">definicje, formuły, ostrzeżenia o podwójnym liczeniu</t>
  </si>
  <si>
    <t xml:space="preserve">SCENARIUSZE</t>
  </si>
  <si>
    <t xml:space="preserve">8 zdarzeń, 7 faz każde, macierz objęcia, częstotliwość</t>
  </si>
  <si>
    <t xml:space="preserve">ŹRÓDŁA I ZAŁOŻENIA</t>
  </si>
  <si>
    <t xml:space="preserve">rejestr źródeł i Twoich założeń</t>
  </si>
  <si>
    <t xml:space="preserve">KOSZTY SZCZEGÓŁOWE</t>
  </si>
  <si>
    <t xml:space="preserve">120 pozycji z perspektywą, źródłem i pewnością</t>
  </si>
  <si>
    <t xml:space="preserve">PRZYKŁAD</t>
  </si>
  <si>
    <t xml:space="preserve">kompletny przykład fikcyjny — wyłącznie poglądowo</t>
  </si>
  <si>
    <t xml:space="preserve">DANE I ODTWARZANIE</t>
  </si>
  <si>
    <t xml:space="preserve">RPO, utracone rekordy, ponowne wprowadzanie</t>
  </si>
  <si>
    <t xml:space="preserve">QA</t>
  </si>
  <si>
    <t xml:space="preserve">automatyczne kontrole poprawności Twoich danych</t>
  </si>
  <si>
    <t xml:space="preserve">KLIENT PRAWO CYBER</t>
  </si>
  <si>
    <t xml:space="preserve">kary, rekompensaty, obowiązki, ekspozycje warunkowe</t>
  </si>
  <si>
    <t xml:space="preserve">  LEGENDA PÓL</t>
  </si>
  <si>
    <t xml:space="preserve">✎  Pole do wypełnienia</t>
  </si>
  <si>
    <t xml:space="preserve">Wpisujesz swoje dane.</t>
  </si>
  <si>
    <t xml:space="preserve">TRZY LICZBY, NIE JEDNA</t>
  </si>
  <si>
    <t xml:space="preserve">▼  Lista wyboru</t>
  </si>
  <si>
    <t xml:space="preserve">Wybierasz z gotowej listy.</t>
  </si>
  <si>
    <t xml:space="preserve">Każdy wynik pokazujemy jako niski / bazowy / wysoki. Przedział bierze się wyłącznie z zakresów, które sam podasz. Narzędzie nie dopisuje żadnych mnożników od siebie.</t>
  </si>
  <si>
    <t xml:space="preserve">Σ  Wynik obliczeń</t>
  </si>
  <si>
    <t xml:space="preserve">Formuła. Nie nadpisuj — stracisz logikę.</t>
  </si>
  <si>
    <t xml:space="preserve">!  Ostrzeżenie</t>
  </si>
  <si>
    <t xml:space="preserve">Coś wymaga uwagi. Szczegóły na karcie QA.</t>
  </si>
  <si>
    <t xml:space="preserve">CZTERY PERSPEKTYWY, KTÓRYCH NIE SUMUJEMY</t>
  </si>
  <si>
    <t xml:space="preserve">n/d  Nie dotyczy</t>
  </si>
  <si>
    <t xml:space="preserve">Moduł wyłączony. To NIE znaczy „0 zł”.</t>
  </si>
  <si>
    <t xml:space="preserve">Gotówka · wpływ na wynik finansowy (P&amp;L) · utracona zdolność operacyjna · ekspozycje warunkowe. Dodanie ich do siebie policzyłoby te same straty dwa razy.</t>
  </si>
  <si>
    <t xml:space="preserve">  PRYWATNOŚĆ, ZAKRES ODPOWIEDZIALNOŚCI I KONTAKT</t>
  </si>
  <si>
    <t xml:space="preserve">Prywatność: plik nie łączy się z internetem, nie zawiera makr ani odnośników śledzących. Dane pozostają w tym pliku, na Twoim komputerze.</t>
  </si>
  <si>
    <t xml:space="preserve">Wynik jest estymacją opartą wyłącznie na danych i założeniach wpisanych przez użytkownika. Nie stanowi oferty, wyceny, audytu ani porady księgowej, prawnej czy ubezpieczeniowej. Rzeczywisty skutek zależy od procesów, umów, podatków, ubezpieczenia, zdolności nadrobienia i przebiegu zdarzenia. Decyzje inwestycyjne potwierdź z finansami, operacjami, IT oraz — w razie potrzeby — z prawnikiem lub ubezpieczycielem.</t>
  </si>
  <si>
    <t xml:space="preserve">Chcesz sprawdzić, gdzie Twoja firma realnie może stanąć?</t>
  </si>
  <si>
    <t xml:space="preserve">Umów bezpłatny przegląd IT — 60 minut, bez zobowiązań, z jednostronicową kartą wyników. Nie sprzedajemy z góry abonamentu; pokazujemy, gdzie firma może stanąć.</t>
  </si>
  <si>
    <t xml:space="preserve">NEXAIT sp. z o.o. · nexait.pl · office@nexait.pl · +48 535 040 361</t>
  </si>
  <si>
    <t xml:space="preserve">NexaIT</t>
  </si>
  <si>
    <t xml:space="preserve">Tryb szybki — minimalny obronny koszt jednego przestoju</t>
  </si>
  <si>
    <t xml:space="preserve">Wypełnij 11 pól. Wynik jest celowo konserwatywny: pokazuje wyłącznie to, co da się policzyć z tych danych. Pełny obraz daje tryb zaawansowany.</t>
  </si>
  <si>
    <t xml:space="preserve">  1. TWOJE DANE</t>
  </si>
  <si>
    <t xml:space="preserve">ID</t>
  </si>
  <si>
    <t xml:space="preserve">Pole</t>
  </si>
  <si>
    <t xml:space="preserve">Jedn.</t>
  </si>
  <si>
    <t xml:space="preserve">Wartość</t>
  </si>
  <si>
    <t xml:space="preserve">Jak to wypełnić</t>
  </si>
  <si>
    <t xml:space="preserve">SW-01</t>
  </si>
  <si>
    <t xml:space="preserve">Liczba osób, których praca staje albo mocno zwalnia</t>
  </si>
  <si>
    <t xml:space="preserve">os.</t>
  </si>
  <si>
    <t xml:space="preserve">Policz tylko tych, których praca realnie zależy od uszkodzonego systemu.</t>
  </si>
  <si>
    <t xml:space="preserve">SW-02</t>
  </si>
  <si>
    <t xml:space="preserve">Czas przestoju — wariant niski</t>
  </si>
  <si>
    <t xml:space="preserve">h</t>
  </si>
  <si>
    <t xml:space="preserve">Najkrótszy realistyczny przebieg zdarzenia.</t>
  </si>
  <si>
    <t xml:space="preserve">SW-03</t>
  </si>
  <si>
    <t xml:space="preserve">Czas przestoju — wariant bazowy</t>
  </si>
  <si>
    <t xml:space="preserve">Najbardziej prawdopodobny przebieg.</t>
  </si>
  <si>
    <t xml:space="preserve">SW-04</t>
  </si>
  <si>
    <t xml:space="preserve">Czas przestoju — wariant wysoki</t>
  </si>
  <si>
    <t xml:space="preserve">Przebieg pesymistyczny, ale realny.</t>
  </si>
  <si>
    <t xml:space="preserve">SW-05</t>
  </si>
  <si>
    <t xml:space="preserve">Średnia utrata produktywności w tym czasie</t>
  </si>
  <si>
    <t xml:space="preserve">%</t>
  </si>
  <si>
    <t xml:space="preserve">100% = pełne zatrzymanie. Jeśli ludzie robią coś innego albo działa obejście, wpisz mniej.</t>
  </si>
  <si>
    <t xml:space="preserve">SW-06</t>
  </si>
  <si>
    <t xml:space="preserve">Pełny koszt pracodawcy za godzinę (średnio)</t>
  </si>
  <si>
    <t xml:space="preserve">zł/h</t>
  </si>
  <si>
    <t xml:space="preserve">Koszt pracodawcy, nie pensja netto: brutto plus składki i narzuty, podzielone przez godziny pracy.</t>
  </si>
  <si>
    <t xml:space="preserve">SW-07</t>
  </si>
  <si>
    <t xml:space="preserve">Czy firma traci w tym czasie sprzedaż?</t>
  </si>
  <si>
    <t xml:space="preserve">—</t>
  </si>
  <si>
    <t xml:space="preserve">Wybierz NIE, jeśli klienci kupią później albo organizacja nie ma przychodu.</t>
  </si>
  <si>
    <t xml:space="preserve">SW-08</t>
  </si>
  <si>
    <t xml:space="preserve">Przychód firmy na godzinę pracy</t>
  </si>
  <si>
    <t xml:space="preserve">Roczny przychód podzielony przez godziny operacyjne w roku.</t>
  </si>
  <si>
    <t xml:space="preserve">SW-09</t>
  </si>
  <si>
    <t xml:space="preserve">Marża pokrycia</t>
  </si>
  <si>
    <t xml:space="preserve">Przychód minus koszty zmienne, podzielone przez przychód. To nie marża brutto ze sprawozdania.</t>
  </si>
  <si>
    <t xml:space="preserve">SW-10</t>
  </si>
  <si>
    <t xml:space="preserve">Udział sprzedaży trwale nieodzyskiwalnej</t>
  </si>
  <si>
    <t xml:space="preserve">Ile z utraconej sprzedaży NIE wróci. Reszta to sprzedaż odroczona — nie jest stratą marży.</t>
  </si>
  <si>
    <t xml:space="preserve">SW-11</t>
  </si>
  <si>
    <t xml:space="preserve">Dodatkowe koszty gotówkowe zdarzenia</t>
  </si>
  <si>
    <t xml:space="preserve">zł</t>
  </si>
  <si>
    <t xml:space="preserve">Serwis zewnętrzny, nadgodziny, sprzęt zastępczy, transport ekspresowy, kary już naliczone.</t>
  </si>
  <si>
    <t xml:space="preserve">  2. WYNIK</t>
  </si>
  <si>
    <t xml:space="preserve">Miara</t>
  </si>
  <si>
    <t xml:space="preserve">Niski</t>
  </si>
  <si>
    <t xml:space="preserve">Bazowy</t>
  </si>
  <si>
    <t xml:space="preserve">Wysoki</t>
  </si>
  <si>
    <t xml:space="preserve">Co to znaczy</t>
  </si>
  <si>
    <t xml:space="preserve">Efektywne godziny przestoju</t>
  </si>
  <si>
    <t xml:space="preserve">Czas przestoju przemnożony przez utratę produktywności. To nie to samo co czas trwania awarii.</t>
  </si>
  <si>
    <t xml:space="preserve">Utracona marża pokrycia</t>
  </si>
  <si>
    <t xml:space="preserve">Marża, która nie wróci. Nie liczymy całego przychodu — to byłby błąd.</t>
  </si>
  <si>
    <t xml:space="preserve">Dodatkowe koszty gotówkowe</t>
  </si>
  <si>
    <t xml:space="preserve">Pieniądze, które realnie wypłyną z firmy z powodu zdarzenia.</t>
  </si>
  <si>
    <t xml:space="preserve">WPŁYW NA WYNIK FINANSOWY (P&amp;L)</t>
  </si>
  <si>
    <t xml:space="preserve">Liczba nagłówkowa: utracona marża plus koszty dodatkowe. Bez pensji pracowników — one nie są kosztem dodatkowym.</t>
  </si>
  <si>
    <t xml:space="preserve">Utracona zdolność operacyjna</t>
  </si>
  <si>
    <t xml:space="preserve">Wartość opłaconego, ale niewykorzystanego czasu ludzi. KPI operacyjny — NIE dodawaj do P&amp;L.</t>
  </si>
  <si>
    <t xml:space="preserve">  3. CZEGO TEN WYNIK JESZCZE NIE OBEJMUJE</t>
  </si>
  <si>
    <t xml:space="preserve">•  Fazowego przebiegu zdarzenia — częściowej degradacji, obejść, stabilizacji i nadrabiania backlogu.</t>
  </si>
  <si>
    <t xml:space="preserve">•  Utraty i ponownego wprowadzania danych (RPO, rekordy, uzgodnienia).</t>
  </si>
  <si>
    <t xml:space="preserve">•  Kosztu odtworzenia technicznego: serwisu zewnętrznego, sprzętu zastępczego, testów po odtworzeniu.</t>
  </si>
  <si>
    <t xml:space="preserve">•  Kar umownych, SLA, rekompensat i chargebacków.</t>
  </si>
  <si>
    <t xml:space="preserve">•  Skutków cyberincydentu i naruszenia danych oraz kosztu obsługi obowiązków regulacyjnych.</t>
  </si>
  <si>
    <t xml:space="preserve">•  Kosztu finansowania odroczonych wpływów.</t>
  </si>
  <si>
    <t xml:space="preserve">•  Rocznej ekspozycji na ryzyko i oceny opłacalności działań zabezpieczających.</t>
  </si>
  <si>
    <t xml:space="preserve">•  Ekspozycji warunkowych: sporów, roszczeń, odejścia klienta, utraconych kontraktów.</t>
  </si>
  <si>
    <t xml:space="preserve">Wszystkie te elementy są dostępne w trybie zaawansowanym. Zacznij od karty PROFIL FIRMY.</t>
  </si>
  <si>
    <t xml:space="preserve">Przejście do trybu zaawansowanego: liczbę osób z SW-01 wpisz w karcie PROCESY (kolumna „Liczba osób w procesie”), a koszt godziny z SW-06 w karcie PROFIL FIRMY (pole PF-12). Kopiowanie jest ręczne celowo — żeby zawsze było widać, skąd wzięła się liczba.</t>
  </si>
  <si>
    <t xml:space="preserve">Profil firmy</t>
  </si>
  <si>
    <t xml:space="preserve">Fundament całego modelu. Bez pola PF-12 (pełny koszt pracodawcy za godzinę) żaden wynik w trybie zaawansowanym nie będzie wiarygodny.</t>
  </si>
  <si>
    <t xml:space="preserve">  PARAMETRY ORGANIZACJI</t>
  </si>
  <si>
    <t xml:space="preserve">Klasa wartości</t>
  </si>
  <si>
    <t xml:space="preserve">Źródło / właściciel danych</t>
  </si>
  <si>
    <t xml:space="preserve">PF-01</t>
  </si>
  <si>
    <t xml:space="preserve">Nazwa organizacji (opcjonalnie)</t>
  </si>
  <si>
    <t xml:space="preserve">DANE UŻYTKOWNIKA</t>
  </si>
  <si>
    <t xml:space="preserve">Pole nieobowiązkowe. Narzędzie działa bez żadnych danych identyfikujących.</t>
  </si>
  <si>
    <t xml:space="preserve">PF-02</t>
  </si>
  <si>
    <t xml:space="preserve">Data analizy</t>
  </si>
  <si>
    <t xml:space="preserve">Wpisz ręcznie, np. 2026-07-31. Celowo nie używamy automatycznej daty — wynik ma być powtarzalny.</t>
  </si>
  <si>
    <t xml:space="preserve">PF-03</t>
  </si>
  <si>
    <t xml:space="preserve">Branża / profil działalności</t>
  </si>
  <si>
    <t xml:space="preserve">Podpowiada, które moduły kosztowe warto włączyć.</t>
  </si>
  <si>
    <t xml:space="preserve">PF-04</t>
  </si>
  <si>
    <t xml:space="preserve">Typ organizacji</t>
  </si>
  <si>
    <t xml:space="preserve">„Niekomercyjna” wyłącza logikę marży. Nie wymuszamy fikcyjnego przychodu.</t>
  </si>
  <si>
    <t xml:space="preserve">PF-05</t>
  </si>
  <si>
    <t xml:space="preserve">Liczba lokalizacji</t>
  </si>
  <si>
    <t xml:space="preserve">szt.</t>
  </si>
  <si>
    <t xml:space="preserve">Wszystkie lokalizacje z własnym IT.</t>
  </si>
  <si>
    <t xml:space="preserve">PF-06</t>
  </si>
  <si>
    <t xml:space="preserve">Liczba pracowników / użytkowników</t>
  </si>
  <si>
    <t xml:space="preserve">Wszystkie osoby korzystające z systemów.</t>
  </si>
  <si>
    <t xml:space="preserve">PF-07</t>
  </si>
  <si>
    <t xml:space="preserve">Dni operacyjne w tygodniu</t>
  </si>
  <si>
    <t xml:space="preserve">dni</t>
  </si>
  <si>
    <t xml:space="preserve">Np. 5 dla biura, 7 dla produkcji ciągłej.</t>
  </si>
  <si>
    <t xml:space="preserve">PF-08</t>
  </si>
  <si>
    <t xml:space="preserve">Godziny operacyjne na dobę</t>
  </si>
  <si>
    <t xml:space="preserve">Łącznie ze wszystkimi zmianami.</t>
  </si>
  <si>
    <t xml:space="preserve">PF-09</t>
  </si>
  <si>
    <t xml:space="preserve">Liczba zmian</t>
  </si>
  <si>
    <t xml:space="preserve">Informacyjnie — pomaga ocenić zasięg zdarzenia w macierzy objęcia.</t>
  </si>
  <si>
    <t xml:space="preserve">PF-10</t>
  </si>
  <si>
    <t xml:space="preserve">Dni operacyjne w roku</t>
  </si>
  <si>
    <t xml:space="preserve">Wpisz własną liczbę. Dla firmy pracującej pn–pt to zwykle okolice 250.</t>
  </si>
  <si>
    <t xml:space="preserve">PF-11</t>
  </si>
  <si>
    <t xml:space="preserve">Godziny operacyjne w roku</t>
  </si>
  <si>
    <t xml:space="preserve">WYNIK</t>
  </si>
  <si>
    <t xml:space="preserve">PF-10 × PF-08.</t>
  </si>
  <si>
    <t xml:space="preserve">PF-12</t>
  </si>
  <si>
    <t xml:space="preserve">NAJWAŻNIEJSZE POLE CAŁEGO MODELU. Koszt pracodawcy, nie pensja netto. Możesz użyć pomocnika PF-14…PF-17.</t>
  </si>
  <si>
    <t xml:space="preserve">PF-13</t>
  </si>
  <si>
    <t xml:space="preserve">Skąd pochodzi wartość PF-12</t>
  </si>
  <si>
    <t xml:space="preserve">Np. „lista płac 06/2026”, „szacunek zarządu”, „benchmark GUS”. Wpisz źródło — to część dowodu.</t>
  </si>
  <si>
    <t xml:space="preserve">PF-14</t>
  </si>
  <si>
    <t xml:space="preserve">Pomocnik: przeciętne wynagrodzenie brutto / mies.</t>
  </si>
  <si>
    <t xml:space="preserve">PF-15</t>
  </si>
  <si>
    <t xml:space="preserve">Pomocnik: narzut pracodawcy</t>
  </si>
  <si>
    <t xml:space="preserve">Składki po stronie pracodawcy i pozostałe narzuty. Pole jest puste — wpisz własną wartość.</t>
  </si>
  <si>
    <t xml:space="preserve">PF-16</t>
  </si>
  <si>
    <t xml:space="preserve">Pomocnik: godziny pracy w miesiącu</t>
  </si>
  <si>
    <t xml:space="preserve">Np. 160. Jeśli chcesz koszt efektywny, użyj godzin faktycznie produktywnych.</t>
  </si>
  <si>
    <t xml:space="preserve">PF-17</t>
  </si>
  <si>
    <t xml:space="preserve">Pomocnik: wyliczony koszt godziny</t>
  </si>
  <si>
    <t xml:space="preserve">PF-14 × (1 + PF-15) ÷ PF-16. Jeśli wynik pasuje, przepisz go do PF-12.</t>
  </si>
  <si>
    <t xml:space="preserve">PF-18</t>
  </si>
  <si>
    <t xml:space="preserve">Podstawa kosztowa</t>
  </si>
  <si>
    <t xml:space="preserve">Netto, gdy VAT jest odliczalny. Brutto, gdy nie jest. Trzymaj jedną podstawę w całym pliku.</t>
  </si>
  <si>
    <t xml:space="preserve">PF-19</t>
  </si>
  <si>
    <t xml:space="preserve">Roczna stopa finansowania</t>
  </si>
  <si>
    <t xml:space="preserve">ZAŁOŻENIE</t>
  </si>
  <si>
    <t xml:space="preserve">Do kosztu odroczonych wpływów. Twój realny koszt kredytu obrotowego — zwykle wyraźnie powyżej stopy referencyjnej NBP (3,75% w lipcu 2026).</t>
  </si>
  <si>
    <t xml:space="preserve">PF-20</t>
  </si>
  <si>
    <t xml:space="preserve">Waluta</t>
  </si>
  <si>
    <t xml:space="preserve">PLN</t>
  </si>
  <si>
    <t xml:space="preserve">Wersja 1.0 działa wyłącznie w PLN.</t>
  </si>
  <si>
    <t xml:space="preserve">  PODSTAWA KOSZTOWA — DLACZEGO TO WAŻNE</t>
  </si>
  <si>
    <t xml:space="preserve">Dla kosztów stosuj wartość ekonomicznie ponoszoną: netto, jeśli VAT jest odliczalny, albo brutto, jeśli nie jest. Mieszanie podstaw w jednym pliku psuje porównywalność wyniku i jest najczęstszym powodem, dla którego księgowość odrzuca taką kalkulację.</t>
  </si>
  <si>
    <t xml:space="preserve">Nie wpisujemy żadnych wartości domyślnych. Puste pole to brak danych, a nie zero — karta QA policzy, ilu danych brakuje.</t>
  </si>
  <si>
    <t xml:space="preserve">Procesy biznesowe</t>
  </si>
  <si>
    <t xml:space="preserve">Jeden wiersz to jeden proces zależny od IT. Wybierz DOKŁADNIE JEDNĄ metodę wyceny — sumowanie dwóch metod policzyłoby tę samą stratę dwa razy.</t>
  </si>
  <si>
    <t xml:space="preserve">  REJESTR PROCESÓW (12 pozycji)</t>
  </si>
  <si>
    <t xml:space="preserve">Nazwa procesu</t>
  </si>
  <si>
    <t xml:space="preserve">Właściciel</t>
  </si>
  <si>
    <t xml:space="preserve">Lokalizacja / zmiana</t>
  </si>
  <si>
    <t xml:space="preserve">Liczba osób
w procesie</t>
  </si>
  <si>
    <t xml:space="preserve">Godziny działania
na dobę</t>
  </si>
  <si>
    <t xml:space="preserve">Metoda wyceny
procesu</t>
  </si>
  <si>
    <t xml:space="preserve">Przychód na
godzinę [zł/h]</t>
  </si>
  <si>
    <t xml:space="preserve">Marża
pokrycia [%]</t>
  </si>
  <si>
    <t xml:space="preserve">Jednostki na
godzinę [szt./h]</t>
  </si>
  <si>
    <t xml:space="preserve">Marża na
jednostkę [zł]</t>
  </si>
  <si>
    <t xml:space="preserve">Udział godzin
billable [%]</t>
  </si>
  <si>
    <t xml:space="preserve">Marża na godzinę
billable [zł/h]</t>
  </si>
  <si>
    <t xml:space="preserve">Ręczny wpływ na
marżę [zł/h]</t>
  </si>
  <si>
    <t xml:space="preserve">MARŻA NA GODZINĘ
— WYNIK [zł/h]</t>
  </si>
  <si>
    <t xml:space="preserve">Udział nieodzysk.
— niski [%]</t>
  </si>
  <si>
    <t xml:space="preserve">Udział nieodzysk.
— bazowy [%]</t>
  </si>
  <si>
    <t xml:space="preserve">Udział nieodzysk.
— wysoki [%]</t>
  </si>
  <si>
    <t xml:space="preserve">Koszt godziny
w procesie [zł/h]</t>
  </si>
  <si>
    <t xml:space="preserve">Koszt godziny
— użyty [zł/h]</t>
  </si>
  <si>
    <t xml:space="preserve">MTPD / MAO
[h]</t>
  </si>
  <si>
    <t xml:space="preserve">RTO
[h]</t>
  </si>
  <si>
    <t xml:space="preserve">RPO
[h]</t>
  </si>
  <si>
    <t xml:space="preserve">MBCO — minimalny
akceptowalny poziom</t>
  </si>
  <si>
    <t xml:space="preserve">Krytyczne systemy</t>
  </si>
  <si>
    <t xml:space="preserve">Obejście — opis</t>
  </si>
  <si>
    <t xml:space="preserve">Skutki niefinansowe
przerwy</t>
  </si>
  <si>
    <t xml:space="preserve">P01</t>
  </si>
  <si>
    <t xml:space="preserve">P02</t>
  </si>
  <si>
    <t xml:space="preserve">P03</t>
  </si>
  <si>
    <t xml:space="preserve">P04</t>
  </si>
  <si>
    <t xml:space="preserve">P05</t>
  </si>
  <si>
    <t xml:space="preserve">P06</t>
  </si>
  <si>
    <t xml:space="preserve">P07</t>
  </si>
  <si>
    <t xml:space="preserve">P08</t>
  </si>
  <si>
    <t xml:space="preserve">P09</t>
  </si>
  <si>
    <t xml:space="preserve">P10</t>
  </si>
  <si>
    <t xml:space="preserve">P11</t>
  </si>
  <si>
    <t xml:space="preserve">P12</t>
  </si>
  <si>
    <t xml:space="preserve">  ZASADY, KTÓRE CHRONIĄ WYNIK PRZED PODWÓJNYM LICZENIEM</t>
  </si>
  <si>
    <t xml:space="preserve">•  Jeden proces = jedna metoda wyceny. Pola pozostałych metod są ignorowane przez formułę.</t>
  </si>
  <si>
    <t xml:space="preserve">•  Metoda Billable ZASTĘPUJE liczenie czasu tych samych osób w kategorii K1 — nie dodawaj obu.</t>
  </si>
  <si>
    <t xml:space="preserve">•  Liczymy marżę pokrycia, nie cały przychód. Przychód można pokazać jako KPI, ale nie wchodzi do P&amp;L.</t>
  </si>
  <si>
    <t xml:space="preserve">•  Udział nieodzyskiwalny 0% oznacza, że cała sprzedaż wróci — wtedy strata marży wynosi zero, a realnym kosztem jest finansowanie odroczenia i nadrabianie.</t>
  </si>
  <si>
    <t xml:space="preserve">•  Metoda „Nie dotyczy” jest właściwa dla szkół, urzędów i procesów wsparcia — wtedy jedyną miarą jest utracona zdolność operacyjna, wyraźnie oznaczona jako surogat.</t>
  </si>
  <si>
    <t xml:space="preserve">Systemy i zależności</t>
  </si>
  <si>
    <t xml:space="preserve">Rejestr systemów i tego, co od czego zależy. Zależność jest wiele-do-wielu: jeden system obsługuje wiele procesów, a jeden proces potrzebuje wielu systemów.</t>
  </si>
  <si>
    <t xml:space="preserve">NIE wpisuj tutaj haseł, adresów IP, nazw kont ani szczegółów konfiguracji zabezpieczeń. Do modelu wystarczą nazwy i zależności.</t>
  </si>
  <si>
    <t xml:space="preserve">  REJESTR SYSTEMÓW (15 pozycji)</t>
  </si>
  <si>
    <t xml:space="preserve">Nazwa systemu / usługi</t>
  </si>
  <si>
    <t xml:space="preserve">Właściciel wewnętrzny</t>
  </si>
  <si>
    <t xml:space="preserve">Dostawca</t>
  </si>
  <si>
    <t xml:space="preserve">Lokalizacja
(on-prem / chmura / hybryda)</t>
  </si>
  <si>
    <t xml:space="preserve">Procesy zależne
(ID, np. P01, P03)</t>
  </si>
  <si>
    <t xml:space="preserve">Rodzaj zależności</t>
  </si>
  <si>
    <t xml:space="preserve">Krytyczność</t>
  </si>
  <si>
    <t xml:space="preserve">Redundancja — opis</t>
  </si>
  <si>
    <t xml:space="preserve">Zależność wspólnej przyczyny</t>
  </si>
  <si>
    <t xml:space="preserve">Uwagi</t>
  </si>
  <si>
    <t xml:space="preserve">SYS01</t>
  </si>
  <si>
    <t xml:space="preserve">SYS02</t>
  </si>
  <si>
    <t xml:space="preserve">SYS03</t>
  </si>
  <si>
    <t xml:space="preserve">SYS04</t>
  </si>
  <si>
    <t xml:space="preserve">SYS05</t>
  </si>
  <si>
    <t xml:space="preserve">SYS06</t>
  </si>
  <si>
    <t xml:space="preserve">SYS07</t>
  </si>
  <si>
    <t xml:space="preserve">SYS08</t>
  </si>
  <si>
    <t xml:space="preserve">SYS09</t>
  </si>
  <si>
    <t xml:space="preserve">SYS10</t>
  </si>
  <si>
    <t xml:space="preserve">SYS11</t>
  </si>
  <si>
    <t xml:space="preserve">SYS12</t>
  </si>
  <si>
    <t xml:space="preserve">SYS13</t>
  </si>
  <si>
    <t xml:space="preserve">SYS14</t>
  </si>
  <si>
    <t xml:space="preserve">SYS15</t>
  </si>
  <si>
    <t xml:space="preserve">  DLACZEGO TO MA ZNACZENIE DLA WYNIKU</t>
  </si>
  <si>
    <t xml:space="preserve">•  Awaria jednego wąskiego gardła może zatrzymać cały proces — wtedy w macierzy objęcia (karta SCENARIUSZE) wpisujesz 100%, nawet jeśli awaria dotyczy jednego systemu.</t>
  </si>
  <si>
    <t xml:space="preserve">•  Wspólna przyczyna (jedna szafa, jedno łącze, jeden hypervisor, jeden dostawca tożsamości) sprawia, że kilka systemów pada naraz — to argument za osobnym scenariuszem, a nie sumą małych.</t>
  </si>
  <si>
    <t xml:space="preserve">•  Realne obejście najczęściej decyduje o wyniku. Opisz je uczciwie: jeśli obejście ratuje 60% pracy, wpisz to w fazie zdarzenia zamiast zakładać 100% przestoju.</t>
  </si>
  <si>
    <t xml:space="preserve">Scenariusze zdarzeń</t>
  </si>
  <si>
    <t xml:space="preserve">Osiem scenariuszy naraz, każdy w siedmiu fazach. Przestój prawie nigdy nie jest prostokątem „100% przez cały czas” — dlatego liczymy efektywne godziny, a nie sam czas trwania awarii.</t>
  </si>
  <si>
    <t xml:space="preserve">  1. NAGŁÓWKI SCENARIUSZY</t>
  </si>
  <si>
    <t xml:space="preserve">Nazwa scenariusza</t>
  </si>
  <si>
    <t xml:space="preserve">Typ zdarzenia</t>
  </si>
  <si>
    <t xml:space="preserve">Zakres — lokalizacje / kanały / zmiany</t>
  </si>
  <si>
    <t xml:space="preserve">Aktywny</t>
  </si>
  <si>
    <t xml:space="preserve">Miara częstotliwości</t>
  </si>
  <si>
    <t xml:space="preserve">Częstotliwość
— niska</t>
  </si>
  <si>
    <t xml:space="preserve">Częstotliwość
— bazowa</t>
  </si>
  <si>
    <t xml:space="preserve">Częstotliwość
— wysoka</t>
  </si>
  <si>
    <t xml:space="preserve">Czas kalendarzowy
— niski [h]</t>
  </si>
  <si>
    <t xml:space="preserve">Czas kalendarzowy
— bazowy [h]</t>
  </si>
  <si>
    <t xml:space="preserve">Czas kalendarzowy
— wysoki [h]</t>
  </si>
  <si>
    <t xml:space="preserve">Efektywne godziny
H — niskie</t>
  </si>
  <si>
    <t xml:space="preserve">Efektywne godziny
H — bazowe</t>
  </si>
  <si>
    <t xml:space="preserve">Efektywne godziny
H — wysokie</t>
  </si>
  <si>
    <t xml:space="preserve">S1</t>
  </si>
  <si>
    <t xml:space="preserve">S2</t>
  </si>
  <si>
    <t xml:space="preserve">S3</t>
  </si>
  <si>
    <t xml:space="preserve">S4</t>
  </si>
  <si>
    <t xml:space="preserve">S5</t>
  </si>
  <si>
    <t xml:space="preserve">S6</t>
  </si>
  <si>
    <t xml:space="preserve">S7</t>
  </si>
  <si>
    <t xml:space="preserve">S8</t>
  </si>
  <si>
    <t xml:space="preserve">  2. MACIERZ OBJĘCIA — jaka część procesu stoi w danym scenariuszu [%]</t>
  </si>
  <si>
    <t xml:space="preserve">Scenariusz aktywny (1/0) →</t>
  </si>
  <si>
    <t xml:space="preserve">ID procesu</t>
  </si>
  <si>
    <t xml:space="preserve">Nazwa procesu (z karty PROCESY)</t>
  </si>
  <si>
    <t xml:space="preserve">Suma udziałów
w aktywnych scenariuszach</t>
  </si>
  <si>
    <t xml:space="preserve">Puste pole albo 0% oznacza „proces nietknięty” (nie dotyczy), a nie „strata 0 zł”. Jeśli suma udziałów procesu w aktywnych scenariuszach przekracza 100%, karta QA to zgłosi — zwykle znaczy to, że dwa scenariusze opisują to samo zdarzenie.</t>
  </si>
  <si>
    <t xml:space="preserve">  3. FAZY ZDARZENIA (7 faz × 8 scenariuszy)</t>
  </si>
  <si>
    <t xml:space="preserve">Scenariusz</t>
  </si>
  <si>
    <t xml:space="preserve">Nr</t>
  </si>
  <si>
    <t xml:space="preserve">Faza zdarzenia</t>
  </si>
  <si>
    <t xml:space="preserve">Czas — niski [h]</t>
  </si>
  <si>
    <t xml:space="preserve">Czas — bazowy [h]</t>
  </si>
  <si>
    <t xml:space="preserve">Czas — wysoki [h]</t>
  </si>
  <si>
    <t xml:space="preserve">Utrata wydajności
w fazie [%]</t>
  </si>
  <si>
    <t xml:space="preserve">Wydajność
obejścia [%]</t>
  </si>
  <si>
    <t xml:space="preserve">Mnożnik efektywny
— niski [h]</t>
  </si>
  <si>
    <t xml:space="preserve">Mnożnik efektywny
— bazowy [h]</t>
  </si>
  <si>
    <t xml:space="preserve">Mnożnik efektywny
— wysoki [h]</t>
  </si>
  <si>
    <t xml:space="preserve">Co się dzieje w tej fazie / uwagi</t>
  </si>
  <si>
    <t xml:space="preserve">1. Wykrycie i potwierdzenie</t>
  </si>
  <si>
    <t xml:space="preserve">2. Pełny przestój</t>
  </si>
  <si>
    <t xml:space="preserve">3. Obejście / praca awaryjna</t>
  </si>
  <si>
    <t xml:space="preserve">4. Częściowe przywrócenie</t>
  </si>
  <si>
    <t xml:space="preserve">5. Pełne przywrócenie techniczne</t>
  </si>
  <si>
    <t xml:space="preserve">6. Stabilizacja, weryfikacja danych, backlog</t>
  </si>
  <si>
    <t xml:space="preserve">7. Powrót do normalnej wydajności</t>
  </si>
  <si>
    <t xml:space="preserve">  4. WYNIKI ZBIORCZE (silnik modelu — nie edytuj)</t>
  </si>
  <si>
    <t xml:space="preserve">Czas kalendarzowy zdarzenia — bazowy</t>
  </si>
  <si>
    <t xml:space="preserve">Efektywne godziny przestoju H — niskie</t>
  </si>
  <si>
    <t xml:space="preserve">Efektywne godziny przestoju H — bazowe</t>
  </si>
  <si>
    <t xml:space="preserve">Efektywne godziny przestoju H — wysokie</t>
  </si>
  <si>
    <t xml:space="preserve">Utracona marża na godzinę efektywną (bazowa)</t>
  </si>
  <si>
    <t xml:space="preserve">Utracona marża — niska</t>
  </si>
  <si>
    <t xml:space="preserve">Utracona marża — bazowa</t>
  </si>
  <si>
    <t xml:space="preserve">Utracona marża — wysoka</t>
  </si>
  <si>
    <t xml:space="preserve">Utracona zdolność operacyjna (silnik) — niska</t>
  </si>
  <si>
    <t xml:space="preserve">Utracona zdolność operacyjna (silnik) — bazowa</t>
  </si>
  <si>
    <t xml:space="preserve">Utracona zdolność operacyjna (silnik) — wysoka</t>
  </si>
  <si>
    <t xml:space="preserve">Koszty gotówkowe z rejestru — niskie</t>
  </si>
  <si>
    <t xml:space="preserve">Koszty gotówkowe z rejestru — bazowe</t>
  </si>
  <si>
    <t xml:space="preserve">Koszty gotówkowe z rejestru — wysokie</t>
  </si>
  <si>
    <t xml:space="preserve">Koszty niegotówkowe P&amp;L z rejestru — niskie</t>
  </si>
  <si>
    <t xml:space="preserve">Koszty niegotówkowe P&amp;L z rejestru — bazowe</t>
  </si>
  <si>
    <t xml:space="preserve">Koszty niegotówkowe P&amp;L z rejestru — wysokie</t>
  </si>
  <si>
    <t xml:space="preserve">Koszty zdolności z rejestru — niskie</t>
  </si>
  <si>
    <t xml:space="preserve">Koszty zdolności z rejestru — bazowe</t>
  </si>
  <si>
    <t xml:space="preserve">Koszty zdolności z rejestru — wysokie</t>
  </si>
  <si>
    <t xml:space="preserve">Dane i odtwarzanie → zdolność — niskie</t>
  </si>
  <si>
    <t xml:space="preserve">Dane i odtwarzanie → zdolność — bazowe</t>
  </si>
  <si>
    <t xml:space="preserve">Dane i odtwarzanie → zdolność — wysokie</t>
  </si>
  <si>
    <t xml:space="preserve">Dane i odtwarzanie → gotówka — niskie</t>
  </si>
  <si>
    <t xml:space="preserve">Dane i odtwarzanie → gotówka — bazowe</t>
  </si>
  <si>
    <t xml:space="preserve">Dane i odtwarzanie → gotówka — wysokie</t>
  </si>
  <si>
    <t xml:space="preserve">Klient / prawo / cyber → gotówka — niskie</t>
  </si>
  <si>
    <t xml:space="preserve">Klient / prawo / cyber → gotówka — bazowe</t>
  </si>
  <si>
    <t xml:space="preserve">Klient / prawo / cyber → gotówka — wysokie</t>
  </si>
  <si>
    <t xml:space="preserve">Ekspozycje warunkowe — niskie</t>
  </si>
  <si>
    <t xml:space="preserve">Ekspozycje warunkowe — bazowe</t>
  </si>
  <si>
    <t xml:space="preserve">Ekspozycje warunkowe — wysokie</t>
  </si>
  <si>
    <t xml:space="preserve">Potencjalne odzyski (informacyjnie) — niskie</t>
  </si>
  <si>
    <t xml:space="preserve">Potencjalne odzyski (informacyjnie) — bazowe</t>
  </si>
  <si>
    <t xml:space="preserve">Potencjalne odzyski (informacyjnie) — wysokie</t>
  </si>
  <si>
    <t xml:space="preserve">WPŁYW NA WYNIK FINANSOWY (P&amp;L) — niski</t>
  </si>
  <si>
    <t xml:space="preserve">WPŁYW NA WYNIK FINANSOWY (P&amp;L) — bazowy</t>
  </si>
  <si>
    <t xml:space="preserve">WPŁYW NA WYNIK FINANSOWY (P&amp;L) — wysoki</t>
  </si>
  <si>
    <t xml:space="preserve">UTRACONA ZDOLNOŚĆ OPERACYJNA — niska</t>
  </si>
  <si>
    <t xml:space="preserve">UTRACONA ZDOLNOŚĆ OPERACYJNA — bazowa</t>
  </si>
  <si>
    <t xml:space="preserve">UTRACONA ZDOLNOŚĆ OPERACYJNA — wysoka</t>
  </si>
  <si>
    <t xml:space="preserve">KOSZT GOTÓWKOWY (inkrementalny) — niski</t>
  </si>
  <si>
    <t xml:space="preserve">KOSZT GOTÓWKOWY (inkrementalny) — bazowy</t>
  </si>
  <si>
    <t xml:space="preserve">KOSZT GOTÓWKOWY (inkrementalny) — wysoki</t>
  </si>
  <si>
    <t xml:space="preserve">P&amp;L — część zależna od czasu (bazowa)</t>
  </si>
  <si>
    <t xml:space="preserve">P&amp;L — część niezależna od czasu (bazowa)</t>
  </si>
  <si>
    <t xml:space="preserve">Oczekiwana roczna strata (P&amp;L) — niska</t>
  </si>
  <si>
    <t xml:space="preserve">zł/rok</t>
  </si>
  <si>
    <t xml:space="preserve">Oczekiwana roczna strata (P&amp;L) — bazowa</t>
  </si>
  <si>
    <t xml:space="preserve">Oczekiwana roczna strata (P&amp;L) — wysoka</t>
  </si>
  <si>
    <t xml:space="preserve">Perspektyw NIE sumujemy pionowo. „Wpływ na P&amp;L”, „Utracona zdolność operacyjna”, „Koszt gotówkowy” i „Ekspozycje warunkowe” opisują tę samą sytuację z czterech różnych stron. Koszt gotówkowy jest już zawarty we wpływie na P&amp;L — to nie jest osobna strata do dodania.</t>
  </si>
  <si>
    <t xml:space="preserve">Koszty szczegółowe</t>
  </si>
  <si>
    <t xml:space="preserve">Rejestr pozycji kosztowych. Każdy wiersz ma perspektywę, źródło, poziom pewności i flagę wejścia do wyniku. Pozycje z gotowymi opisami to podpowiedzi — uzupełnij tylko te, które faktycznie Cię dotyczą, i przestaw „Wchodzi do wyniku” na TAK.</t>
  </si>
  <si>
    <t xml:space="preserve">Utracona marża i utracona zdolność operacyjna są liczone automatycznie przez silnik (karty PROCESY + SCENARIUSZE). NIE wpisuj ich tutaj ponownie — to najczęstsze źródło podwójnego liczenia.</t>
  </si>
  <si>
    <t xml:space="preserve">  REJESTR POZYCJI KOSZTOWYCH (120 wierszy)</t>
  </si>
  <si>
    <t xml:space="preserve">cost_id</t>
  </si>
  <si>
    <t xml:space="preserve">Proces /
lokalizacja</t>
  </si>
  <si>
    <t xml:space="preserve">Kategoria</t>
  </si>
  <si>
    <t xml:space="preserve">Podkategoria — opis pozycji</t>
  </si>
  <si>
    <t xml:space="preserve">Perspektywa</t>
  </si>
  <si>
    <t xml:space="preserve">Metoda obliczenia</t>
  </si>
  <si>
    <t xml:space="preserve">Jednostka</t>
  </si>
  <si>
    <t xml:space="preserve">Ilość
— niska</t>
  </si>
  <si>
    <t xml:space="preserve">Ilość
— bazowa</t>
  </si>
  <si>
    <t xml:space="preserve">Ilość
— wysoka</t>
  </si>
  <si>
    <t xml:space="preserve">Stawka
— niska</t>
  </si>
  <si>
    <t xml:space="preserve">Stawka
— bazowa</t>
  </si>
  <si>
    <t xml:space="preserve">Stawka
— wysoka</t>
  </si>
  <si>
    <t xml:space="preserve">Źródło</t>
  </si>
  <si>
    <t xml:space="preserve">Pewność</t>
  </si>
  <si>
    <t xml:space="preserve">Grupa wykluczająca</t>
  </si>
  <si>
    <t xml:space="preserve">Ryzyko
dublowania</t>
  </si>
  <si>
    <t xml:space="preserve">Wchodzi do
wyniku</t>
  </si>
  <si>
    <t xml:space="preserve">Notatka</t>
  </si>
  <si>
    <t xml:space="preserve">Wynik — niski</t>
  </si>
  <si>
    <t xml:space="preserve">Wynik — bazowy</t>
  </si>
  <si>
    <t xml:space="preserve">Wynik — wysoki</t>
  </si>
  <si>
    <t xml:space="preserve">K001</t>
  </si>
  <si>
    <t xml:space="preserve">K1 Ludzie i produktywność</t>
  </si>
  <si>
    <t xml:space="preserve">Nadgodziny i dodatki za pracę poza harmonogramem</t>
  </si>
  <si>
    <t xml:space="preserve">GOTÓWKA</t>
  </si>
  <si>
    <t xml:space="preserve">Osobogodziny × koszt godziny</t>
  </si>
  <si>
    <t xml:space="preserve">Brak</t>
  </si>
  <si>
    <t xml:space="preserve">NIE</t>
  </si>
  <si>
    <t xml:space="preserve">K002</t>
  </si>
  <si>
    <t xml:space="preserve">Czas zarządu i kierowników poświęcony na zdarzenie</t>
  </si>
  <si>
    <t xml:space="preserve">ZDOLNOŚĆ</t>
  </si>
  <si>
    <t xml:space="preserve">K003</t>
  </si>
  <si>
    <t xml:space="preserve">Pracownicy tymczasowi i ich wdrożenie</t>
  </si>
  <si>
    <t xml:space="preserve">Stawka × ilość</t>
  </si>
  <si>
    <t xml:space="preserve">K004</t>
  </si>
  <si>
    <t xml:space="preserve">K2 Sprzedaż, przychód i marża</t>
  </si>
  <si>
    <t xml:space="preserve">Anulacje i zwroty spowodowane zdarzeniem</t>
  </si>
  <si>
    <t xml:space="preserve">P&amp;L</t>
  </si>
  <si>
    <t xml:space="preserve">Kwota ryczałtowa</t>
  </si>
  <si>
    <t xml:space="preserve">K005</t>
  </si>
  <si>
    <t xml:space="preserve">Rabaty i kredyty przyznane klientom</t>
  </si>
  <si>
    <t xml:space="preserve">K006</t>
  </si>
  <si>
    <t xml:space="preserve">Koszt finansowania odroczonych wpływów</t>
  </si>
  <si>
    <t xml:space="preserve">Finansowanie odroczenia</t>
  </si>
  <si>
    <t xml:space="preserve">K007</t>
  </si>
  <si>
    <t xml:space="preserve">K3 Produkcja i przepustowość</t>
  </si>
  <si>
    <t xml:space="preserve">Zniszczony WIP, surowce, złom, utylizacja</t>
  </si>
  <si>
    <t xml:space="preserve">K008</t>
  </si>
  <si>
    <t xml:space="preserve">Ponowne przezbrojenie, rozruch, kalibracja, kontrola jakości</t>
  </si>
  <si>
    <t xml:space="preserve">K009</t>
  </si>
  <si>
    <t xml:space="preserve">Awaryjny outsourcing produkcji</t>
  </si>
  <si>
    <t xml:space="preserve">K010</t>
  </si>
  <si>
    <t xml:space="preserve">K4 Magazyn, logistyka i handel</t>
  </si>
  <si>
    <t xml:space="preserve">Transport ekspresowy i przeadresowanie przesyłek</t>
  </si>
  <si>
    <t xml:space="preserve">K011</t>
  </si>
  <si>
    <t xml:space="preserve">Opłaty przewoźnika za przestój i niedotrzymane cut-offy</t>
  </si>
  <si>
    <t xml:space="preserve">K012</t>
  </si>
  <si>
    <t xml:space="preserve">Korekty błędów kompletacji</t>
  </si>
  <si>
    <t xml:space="preserve">K013</t>
  </si>
  <si>
    <t xml:space="preserve">K5 Usługi profesjonalne i biura</t>
  </si>
  <si>
    <t xml:space="preserve">Odtworzenie dokumentów i uzgodnienia z klientami</t>
  </si>
  <si>
    <t xml:space="preserve">K014</t>
  </si>
  <si>
    <t xml:space="preserve">Dodatkowa obsługa komunikacji z klientami biura</t>
  </si>
  <si>
    <t xml:space="preserve">K015</t>
  </si>
  <si>
    <t xml:space="preserve">K6 Sektor publiczny i edukacja</t>
  </si>
  <si>
    <t xml:space="preserve">Organizacja obejścia i pracy ręcznej</t>
  </si>
  <si>
    <t xml:space="preserve">K016</t>
  </si>
  <si>
    <t xml:space="preserve">Niedostarczone godziny usługi lub zajęć (KPI, poza P&amp;L)</t>
  </si>
  <si>
    <t xml:space="preserve">K017</t>
  </si>
  <si>
    <t xml:space="preserve">K7 Odtwarzanie techniczne</t>
  </si>
  <si>
    <t xml:space="preserve">Zewnętrzny serwis / MSP / producent</t>
  </si>
  <si>
    <t xml:space="preserve">K018</t>
  </si>
  <si>
    <t xml:space="preserve">Wewnętrzny zespół IT — czas reakcji i odtwarzania</t>
  </si>
  <si>
    <t xml:space="preserve">K019</t>
  </si>
  <si>
    <t xml:space="preserve">Sprzęt zastępczy, zakup awaryjny, wynajem, przesyłka ekspresowa</t>
  </si>
  <si>
    <t xml:space="preserve">K020</t>
  </si>
  <si>
    <t xml:space="preserve">Dodatkowe zasoby chmurowe, licencje i narzędzia czasowe</t>
  </si>
  <si>
    <t xml:space="preserve">K021</t>
  </si>
  <si>
    <t xml:space="preserve">Podróże i praca on-site</t>
  </si>
  <si>
    <t xml:space="preserve">K022</t>
  </si>
  <si>
    <t xml:space="preserve">Analiza przyczyn źródłowych i działania zapobiegawcze — KOSZT POPRAWY, nie kosztu incydentu</t>
  </si>
  <si>
    <t xml:space="preserve">K023</t>
  </si>
  <si>
    <t xml:space="preserve">K8 Dane i odtwarzanie informacji</t>
  </si>
  <si>
    <t xml:space="preserve">Odtwarzanie z papieru, maili lub systemów partnerów</t>
  </si>
  <si>
    <t xml:space="preserve">K024</t>
  </si>
  <si>
    <t xml:space="preserve">Utracona praca projektowa i zmiany konfiguracyjne</t>
  </si>
  <si>
    <t xml:space="preserve">K025</t>
  </si>
  <si>
    <t xml:space="preserve">K9 Klienci, kontrakty, komunikacja</t>
  </si>
  <si>
    <t xml:space="preserve">Dodatkowa obsługa telefonu, maili i reklamacji</t>
  </si>
  <si>
    <t xml:space="preserve">K026</t>
  </si>
  <si>
    <t xml:space="preserve">Komunikacja kryzysowa i PR</t>
  </si>
  <si>
    <t xml:space="preserve">K027</t>
  </si>
  <si>
    <t xml:space="preserve">K10 Cyber, naruszenie danych, fraud</t>
  </si>
  <si>
    <t xml:space="preserve">Analiza kryminalistyczna i izolacja środowiska</t>
  </si>
  <si>
    <t xml:space="preserve">K028</t>
  </si>
  <si>
    <t xml:space="preserve">Reset poświadczeń i odbudowa z zaufanego stanu</t>
  </si>
  <si>
    <t xml:space="preserve">K029</t>
  </si>
  <si>
    <t xml:space="preserve">Nieautoryzowane płatności i koszty odzyskania środków</t>
  </si>
  <si>
    <t xml:space="preserve">K030</t>
  </si>
  <si>
    <t xml:space="preserve">K11 Inne koszty</t>
  </si>
  <si>
    <t xml:space="preserve">Koszt wdrożenia i utrzymania obejścia</t>
  </si>
  <si>
    <t xml:space="preserve">K031</t>
  </si>
  <si>
    <t xml:space="preserve">Utrata reputacji i wartości niematerialnych</t>
  </si>
  <si>
    <t xml:space="preserve">WARUNKOWA</t>
  </si>
  <si>
    <t xml:space="preserve">Inna — opisz w notatce</t>
  </si>
  <si>
    <t xml:space="preserve">K032</t>
  </si>
  <si>
    <t xml:space="preserve">K12 Odzyski</t>
  </si>
  <si>
    <t xml:space="preserve">Spodziewane odszkodowanie z polisy — informacyjnie, NIE potrącane</t>
  </si>
  <si>
    <t xml:space="preserve">ODZYSK</t>
  </si>
  <si>
    <t xml:space="preserve">K033</t>
  </si>
  <si>
    <t xml:space="preserve">Kredyt SLA od dostawcy — informacyjnie, NIE potrącany</t>
  </si>
  <si>
    <t xml:space="preserve">K034</t>
  </si>
  <si>
    <t xml:space="preserve">K035</t>
  </si>
  <si>
    <t xml:space="preserve">K036</t>
  </si>
  <si>
    <t xml:space="preserve">K037</t>
  </si>
  <si>
    <t xml:space="preserve">K038</t>
  </si>
  <si>
    <t xml:space="preserve">K039</t>
  </si>
  <si>
    <t xml:space="preserve">K040</t>
  </si>
  <si>
    <t xml:space="preserve">K041</t>
  </si>
  <si>
    <t xml:space="preserve">K042</t>
  </si>
  <si>
    <t xml:space="preserve">K043</t>
  </si>
  <si>
    <t xml:space="preserve">K044</t>
  </si>
  <si>
    <t xml:space="preserve">K045</t>
  </si>
  <si>
    <t xml:space="preserve">K046</t>
  </si>
  <si>
    <t xml:space="preserve">K047</t>
  </si>
  <si>
    <t xml:space="preserve">K048</t>
  </si>
  <si>
    <t xml:space="preserve">K049</t>
  </si>
  <si>
    <t xml:space="preserve">K050</t>
  </si>
  <si>
    <t xml:space="preserve">K051</t>
  </si>
  <si>
    <t xml:space="preserve">K052</t>
  </si>
  <si>
    <t xml:space="preserve">K053</t>
  </si>
  <si>
    <t xml:space="preserve">K054</t>
  </si>
  <si>
    <t xml:space="preserve">K055</t>
  </si>
  <si>
    <t xml:space="preserve">K056</t>
  </si>
  <si>
    <t xml:space="preserve">K057</t>
  </si>
  <si>
    <t xml:space="preserve">K058</t>
  </si>
  <si>
    <t xml:space="preserve">K059</t>
  </si>
  <si>
    <t xml:space="preserve">K060</t>
  </si>
  <si>
    <t xml:space="preserve">K061</t>
  </si>
  <si>
    <t xml:space="preserve">K062</t>
  </si>
  <si>
    <t xml:space="preserve">K063</t>
  </si>
  <si>
    <t xml:space="preserve">K064</t>
  </si>
  <si>
    <t xml:space="preserve">K065</t>
  </si>
  <si>
    <t xml:space="preserve">K066</t>
  </si>
  <si>
    <t xml:space="preserve">K067</t>
  </si>
  <si>
    <t xml:space="preserve">K068</t>
  </si>
  <si>
    <t xml:space="preserve">K069</t>
  </si>
  <si>
    <t xml:space="preserve">K070</t>
  </si>
  <si>
    <t xml:space="preserve">K071</t>
  </si>
  <si>
    <t xml:space="preserve">K072</t>
  </si>
  <si>
    <t xml:space="preserve">K073</t>
  </si>
  <si>
    <t xml:space="preserve">K074</t>
  </si>
  <si>
    <t xml:space="preserve">K075</t>
  </si>
  <si>
    <t xml:space="preserve">K076</t>
  </si>
  <si>
    <t xml:space="preserve">K077</t>
  </si>
  <si>
    <t xml:space="preserve">K078</t>
  </si>
  <si>
    <t xml:space="preserve">K079</t>
  </si>
  <si>
    <t xml:space="preserve">K080</t>
  </si>
  <si>
    <t xml:space="preserve">K081</t>
  </si>
  <si>
    <t xml:space="preserve">K082</t>
  </si>
  <si>
    <t xml:space="preserve">K083</t>
  </si>
  <si>
    <t xml:space="preserve">K084</t>
  </si>
  <si>
    <t xml:space="preserve">K085</t>
  </si>
  <si>
    <t xml:space="preserve">K086</t>
  </si>
  <si>
    <t xml:space="preserve">K087</t>
  </si>
  <si>
    <t xml:space="preserve">K088</t>
  </si>
  <si>
    <t xml:space="preserve">K089</t>
  </si>
  <si>
    <t xml:space="preserve">K090</t>
  </si>
  <si>
    <t xml:space="preserve">K091</t>
  </si>
  <si>
    <t xml:space="preserve">K092</t>
  </si>
  <si>
    <t xml:space="preserve">K093</t>
  </si>
  <si>
    <t xml:space="preserve">K094</t>
  </si>
  <si>
    <t xml:space="preserve">K095</t>
  </si>
  <si>
    <t xml:space="preserve">K096</t>
  </si>
  <si>
    <t xml:space="preserve">K097</t>
  </si>
  <si>
    <t xml:space="preserve">K098</t>
  </si>
  <si>
    <t xml:space="preserve">K099</t>
  </si>
  <si>
    <t xml:space="preserve">K100</t>
  </si>
  <si>
    <t xml:space="preserve">K101</t>
  </si>
  <si>
    <t xml:space="preserve">K102</t>
  </si>
  <si>
    <t xml:space="preserve">K103</t>
  </si>
  <si>
    <t xml:space="preserve">K104</t>
  </si>
  <si>
    <t xml:space="preserve">K105</t>
  </si>
  <si>
    <t xml:space="preserve">K106</t>
  </si>
  <si>
    <t xml:space="preserve">K107</t>
  </si>
  <si>
    <t xml:space="preserve">K108</t>
  </si>
  <si>
    <t xml:space="preserve">K109</t>
  </si>
  <si>
    <t xml:space="preserve">K110</t>
  </si>
  <si>
    <t xml:space="preserve">K111</t>
  </si>
  <si>
    <t xml:space="preserve">K112</t>
  </si>
  <si>
    <t xml:space="preserve">K113</t>
  </si>
  <si>
    <t xml:space="preserve">K114</t>
  </si>
  <si>
    <t xml:space="preserve">K115</t>
  </si>
  <si>
    <t xml:space="preserve">K116</t>
  </si>
  <si>
    <t xml:space="preserve">K117</t>
  </si>
  <si>
    <t xml:space="preserve">K118</t>
  </si>
  <si>
    <t xml:space="preserve">K119</t>
  </si>
  <si>
    <t xml:space="preserve">K120</t>
  </si>
  <si>
    <t xml:space="preserve">Dane i odtwarzanie informacji</t>
  </si>
  <si>
    <t xml:space="preserve">Ile danych realnie znika i ile kosztuje ich odtworzenie. RPO mówi, do jakiego punktu w czasie da się cofnąć — to nie jest to samo co czas przywrócenia systemu.</t>
  </si>
  <si>
    <t xml:space="preserve">  ODTWARZANIE DANYCH — JEDEN WIERSZ NA SCENARIUSZ</t>
  </si>
  <si>
    <t xml:space="preserve">RPO deklarowane
[h]</t>
  </si>
  <si>
    <t xml:space="preserve">Okno utraty danych
— niskie [h]</t>
  </si>
  <si>
    <t xml:space="preserve">Okno utraty danych
— bazowe [h]</t>
  </si>
  <si>
    <t xml:space="preserve">Okno utraty danych
— wysokie [h]</t>
  </si>
  <si>
    <t xml:space="preserve">Rekordy do ponownego
wprowadzenia — niska</t>
  </si>
  <si>
    <t xml:space="preserve">Rekordy do ponownego
wprowadzenia — bazowa</t>
  </si>
  <si>
    <t xml:space="preserve">Rekordy do ponownego
wprowadzenia — wysoka</t>
  </si>
  <si>
    <t xml:space="preserve">Minuty na jeden
rekord</t>
  </si>
  <si>
    <t xml:space="preserve">Koszt godziny osoby
[zł/h] (puste = profil)</t>
  </si>
  <si>
    <t xml:space="preserve">Godziny weryfikacji
i uzgodnień</t>
  </si>
  <si>
    <t xml:space="preserve">Koszt zewnętrzny
odtworzenia [zł]</t>
  </si>
  <si>
    <t xml:space="preserve">Wiarygodność kopii</t>
  </si>
  <si>
    <t xml:space="preserve">Ujęcie pracy własnej</t>
  </si>
  <si>
    <t xml:space="preserve">Praca własna
— niska [zł]</t>
  </si>
  <si>
    <t xml:space="preserve">Praca własna
— bazowa [zł]</t>
  </si>
  <si>
    <t xml:space="preserve">Praca własna
— wysoka [zł]</t>
  </si>
  <si>
    <t xml:space="preserve">→ ZDOLNOŚĆ
niska [zł]</t>
  </si>
  <si>
    <t xml:space="preserve">→ ZDOLNOŚĆ
bazowa [zł]</t>
  </si>
  <si>
    <t xml:space="preserve">→ ZDOLNOŚĆ
wysoka [zł]</t>
  </si>
  <si>
    <t xml:space="preserve">→ GOTÓWKA
niska [zł]</t>
  </si>
  <si>
    <t xml:space="preserve">→ GOTÓWKA
bazowa [zł]</t>
  </si>
  <si>
    <t xml:space="preserve">→ GOTÓWKA
wysoka [zł]</t>
  </si>
  <si>
    <t xml:space="preserve">  FORMUŁA I ZAŁOŻENIA</t>
  </si>
  <si>
    <t xml:space="preserve">•  Koszt ponownego wprowadzenia = liczba rekordów × minuty na rekord ÷ 60 × koszt godziny osoby.</t>
  </si>
  <si>
    <t xml:space="preserve">•  Godziny weryfikacji i uzgodnień doliczamy osobno — to zwykle większa część pracy niż samo wpisywanie.</t>
  </si>
  <si>
    <t xml:space="preserve">•  Koszt zewnętrzny odtworzenia zawsze trafia do perspektywy GOTÓWKA.</t>
  </si>
  <si>
    <t xml:space="preserve">•  Wiarygodność kopii nie wchodzi do liczb, ale wchodzi do raportu: „kopia nietestowana” jest informacją zarządczą samą w sobie.</t>
  </si>
  <si>
    <t xml:space="preserve">•  RPO nie jest częścią maksymalnego dopuszczalnego czasu przestoju — to osobna miara utraty danych (NIST SP 800-34 Rev.1).</t>
  </si>
  <si>
    <t xml:space="preserve">Klient, prawo i cyberincydent</t>
  </si>
  <si>
    <t xml:space="preserve">Moduł opcjonalny. Wszystko tutaj jest domyślnie WYŁĄCZONE. Ekspozycja warunkowa wchodzi do wyniku rozszerzonego dopiero wtedy, gdy świadomie podasz kwotę, prawdopodobieństwo i przestawisz flagę na TAK.</t>
  </si>
  <si>
    <t xml:space="preserve">To narzędzie nie jest poradą prawną. Nie szacuje wysokości kar administracyjnych i nie interpretuje przepisów. Kwoty i prawdopodobieństwa wpisujesz sam — najlepiej po rozmowie z prawnikiem, ubezpieczycielem albo inspektorem ochrony danych.</t>
  </si>
  <si>
    <t xml:space="preserve">Kontekst obowiązków (stan na 31.07.2026, do samodzielnej weryfikacji): RODO art. 33 — zgłoszenie naruszenia organowi nadzorczemu bez zbędnej zwłoki, w miarę możliwości do 72 h od jego stwierdzenia, z dopuszczalnym zgłoszeniem etapowym; nie każde naruszenie podlega zgłoszeniu. Nowelizacja ustawy o KSC (wdrożenie NIS 2) obowiązuje od 03.04.2026: rejestracja podmiotów kluczowych i ważnych do 03.10.2026, wdrożenie SZBI do 03.04.2027, pierwszy audyt do 03.04.2028.</t>
  </si>
  <si>
    <t xml:space="preserve">  REJESTR EKSPOZYCJI (30 pozycji)</t>
  </si>
  <si>
    <t xml:space="preserve">id</t>
  </si>
  <si>
    <t xml:space="preserve">Obszar</t>
  </si>
  <si>
    <t xml:space="preserve">Opis pozycji</t>
  </si>
  <si>
    <t xml:space="preserve">Kwota — niska</t>
  </si>
  <si>
    <t xml:space="preserve">Kwota — bazowa</t>
  </si>
  <si>
    <t xml:space="preserve">Kwota — wysoka</t>
  </si>
  <si>
    <t xml:space="preserve">Prawdopodobieństwo</t>
  </si>
  <si>
    <t xml:space="preserve">Źródło / podstawa (umowa, polisa, pismo)</t>
  </si>
  <si>
    <t xml:space="preserve">Wchodzi do wyniku</t>
  </si>
  <si>
    <t xml:space="preserve">C01</t>
  </si>
  <si>
    <t xml:space="preserve">Kary umowne i SLA</t>
  </si>
  <si>
    <t xml:space="preserve">Kara umowna z konkretnej umowy — wskaż paragraf w kolumnie Źródło</t>
  </si>
  <si>
    <t xml:space="preserve">C02</t>
  </si>
  <si>
    <t xml:space="preserve">Rekompensaty, zwroty, rabaty</t>
  </si>
  <si>
    <t xml:space="preserve">Rekompensata uzgodniona z klientem</t>
  </si>
  <si>
    <t xml:space="preserve">C03</t>
  </si>
  <si>
    <t xml:space="preserve">Komunikacja i dodatkowa obsługa</t>
  </si>
  <si>
    <t xml:space="preserve">Obsługa zapytań i reklamacji ponad normę</t>
  </si>
  <si>
    <t xml:space="preserve">C04</t>
  </si>
  <si>
    <t xml:space="preserve">Naruszenie danych — obsługa</t>
  </si>
  <si>
    <t xml:space="preserve">Analiza, zgłoszenie do UODO, zawiadomienie osób</t>
  </si>
  <si>
    <t xml:space="preserve">C05</t>
  </si>
  <si>
    <t xml:space="preserve">Wsparcie prawne i inspektora ochrony danych</t>
  </si>
  <si>
    <t xml:space="preserve">C06</t>
  </si>
  <si>
    <t xml:space="preserve">Obowiązki regulacyjne — koszt obsługi</t>
  </si>
  <si>
    <t xml:space="preserve">Obsługa obowiązków sektorowych (np. KSC / NIS 2)</t>
  </si>
  <si>
    <t xml:space="preserve">C07</t>
  </si>
  <si>
    <t xml:space="preserve">Możliwa kara administracyjna — wyłącznie po konsultacji prawnej, nigdy automatycznie</t>
  </si>
  <si>
    <t xml:space="preserve">C08</t>
  </si>
  <si>
    <t xml:space="preserve">Ryzyko odejścia klienta</t>
  </si>
  <si>
    <t xml:space="preserve">Roczna marża klienta × wzrost prawdopodobieństwa odejścia</t>
  </si>
  <si>
    <t xml:space="preserve">C09</t>
  </si>
  <si>
    <t xml:space="preserve">Utracony kontrakt lub przetarg</t>
  </si>
  <si>
    <t xml:space="preserve">Marża z kontraktu × prawdopodobieństwo utraty</t>
  </si>
  <si>
    <t xml:space="preserve">C10</t>
  </si>
  <si>
    <t xml:space="preserve">Ransomware — okup (wyłącznie ręcznie)</t>
  </si>
  <si>
    <t xml:space="preserve">NexaIT nie rekomenduje zapłaty okupu. Pozycja wyłącznie do świadomej, prawnie zweryfikowanej analizy.</t>
  </si>
  <si>
    <t xml:space="preserve">C11</t>
  </si>
  <si>
    <t xml:space="preserve">C12</t>
  </si>
  <si>
    <t xml:space="preserve">C13</t>
  </si>
  <si>
    <t xml:space="preserve">C14</t>
  </si>
  <si>
    <t xml:space="preserve">C15</t>
  </si>
  <si>
    <t xml:space="preserve">C16</t>
  </si>
  <si>
    <t xml:space="preserve">C17</t>
  </si>
  <si>
    <t xml:space="preserve">C18</t>
  </si>
  <si>
    <t xml:space="preserve">C19</t>
  </si>
  <si>
    <t xml:space="preserve">C20</t>
  </si>
  <si>
    <t xml:space="preserve">C21</t>
  </si>
  <si>
    <t xml:space="preserve">C22</t>
  </si>
  <si>
    <t xml:space="preserve">C23</t>
  </si>
  <si>
    <t xml:space="preserve">C24</t>
  </si>
  <si>
    <t xml:space="preserve">C25</t>
  </si>
  <si>
    <t xml:space="preserve">C26</t>
  </si>
  <si>
    <t xml:space="preserve">C27</t>
  </si>
  <si>
    <t xml:space="preserve">C28</t>
  </si>
  <si>
    <t xml:space="preserve">C29</t>
  </si>
  <si>
    <t xml:space="preserve">C30</t>
  </si>
  <si>
    <t xml:space="preserve">Ryzyko roczne i opłacalność działań</t>
  </si>
  <si>
    <t xml:space="preserve">Od kosztu jednego zdarzenia do rocznej ekspozycji, a potem do decyzji: czy proponowane działanie ma ekonomiczny sens. Uniknięta strata to redukcja ryzyka, a nie gotówka w kasie.</t>
  </si>
  <si>
    <t xml:space="preserve">  1. EKSPOZYCJA ROCZNA I EFEKT DZIAŁANIA — PER SCENARIUSZ</t>
  </si>
  <si>
    <t xml:space="preserve">Częstot.
bazowa</t>
  </si>
  <si>
    <t xml:space="preserve">Koszt zdarzenia
P&amp;L — niski</t>
  </si>
  <si>
    <t xml:space="preserve">Koszt zdarzenia
P&amp;L — bazowy</t>
  </si>
  <si>
    <t xml:space="preserve">Koszt zdarzenia
P&amp;L — wysoki</t>
  </si>
  <si>
    <t xml:space="preserve">Roczna strata
— niska</t>
  </si>
  <si>
    <t xml:space="preserve">Roczna strata
— bazowa</t>
  </si>
  <si>
    <t xml:space="preserve">Roczna strata
— wysoka</t>
  </si>
  <si>
    <t xml:space="preserve">Redukcja
częstotliwości</t>
  </si>
  <si>
    <t xml:space="preserve">Redukcja
czasu przestoju</t>
  </si>
  <si>
    <t xml:space="preserve">Redukcja
pozostałego wpływu</t>
  </si>
  <si>
    <t xml:space="preserve">Koszt zdarzenia
po działaniu</t>
  </si>
  <si>
    <t xml:space="preserve">Roczna strata po
— niska</t>
  </si>
  <si>
    <t xml:space="preserve">Roczna strata po
— bazowa</t>
  </si>
  <si>
    <t xml:space="preserve">Roczna strata po
— wysoka</t>
  </si>
  <si>
    <t xml:space="preserve">Uniknięta ekspozycja
roczna (bazowa)</t>
  </si>
  <si>
    <t xml:space="preserve">Efektywne godziny H
— bazowe</t>
  </si>
  <si>
    <t xml:space="preserve">  2. DZIAŁANIE OGRANICZAJĄCE RYZYKO</t>
  </si>
  <si>
    <t xml:space="preserve">Komentarz</t>
  </si>
  <si>
    <t xml:space="preserve">Nazwa rozważanego działania</t>
  </si>
  <si>
    <t xml:space="preserve">Nazwij konkretne działanie, np. „redundantne łącze plus testowany backup offsite”.</t>
  </si>
  <si>
    <t xml:space="preserve">Koszt jednorazowy (wdrożenie)</t>
  </si>
  <si>
    <t xml:space="preserve">Zakup, wdrożenie, migracja — jednorazowo.</t>
  </si>
  <si>
    <t xml:space="preserve">Roczny koszt utrzymania</t>
  </si>
  <si>
    <t xml:space="preserve">Abonamenty, licencje, utrzymanie, testy odtworzenia — rocznie.</t>
  </si>
  <si>
    <t xml:space="preserve">Uniknięta roczna ekspozycja — niska</t>
  </si>
  <si>
    <t xml:space="preserve">Uniknięta roczna ekspozycja — bazowa</t>
  </si>
  <si>
    <t xml:space="preserve">Uniknięta roczna ekspozycja — wysoka</t>
  </si>
  <si>
    <t xml:space="preserve">Efekt netto w 1. roku (bazowy)</t>
  </si>
  <si>
    <t xml:space="preserve">Uniknięta ekspozycja minus koszt jednorazowy minus utrzymanie w 1. roku.</t>
  </si>
  <si>
    <t xml:space="preserve">ROI w 1. roku (bazowy)</t>
  </si>
  <si>
    <t xml:space="preserve">Efekt netto run-rate (bazowy)</t>
  </si>
  <si>
    <t xml:space="preserve">Stan ustabilizowany: uniknięta ekspozycja minus roczne utrzymanie.</t>
  </si>
  <si>
    <t xml:space="preserve">ROI run-rate (bazowy)</t>
  </si>
  <si>
    <t xml:space="preserve">Okres zwrotu</t>
  </si>
  <si>
    <t xml:space="preserve">mies.</t>
  </si>
  <si>
    <t xml:space="preserve">Komunikat</t>
  </si>
  <si>
    <t xml:space="preserve">OSTRZEŻENIE: uniknięta strata roczna nie jest oszczędnością gotówkową i nie pojawi się na wyciągu bankowym. To oczekiwana wartość zmniejszonego ryzyka przy Twoich własnych założeniach o częstotliwości i skutkach. Zmiana założenia o częstotliwości zmienia wynik liniowo. Żadne działanie nie gwarantuje, że przestój nie wystąpi.</t>
  </si>
  <si>
    <t xml:space="preserve">  3. POTENCJALNE ODZYSKI — UBEZPIECZENIE I KREDYTY SLA</t>
  </si>
  <si>
    <t xml:space="preserve">Parametr</t>
  </si>
  <si>
    <t xml:space="preserve">Czy istnieje polisa BI / cyber?</t>
  </si>
  <si>
    <t xml:space="preserve">Jeśli NIE — odzysk wynosi 0 i tak też jest pokazywany.</t>
  </si>
  <si>
    <t xml:space="preserve">Scenariusz odniesienia</t>
  </si>
  <si>
    <t xml:space="preserve">Limit odpowiedzialności</t>
  </si>
  <si>
    <t xml:space="preserve">Udział własny (franszyza kwotowa)</t>
  </si>
  <si>
    <t xml:space="preserve">Okres wyczekiwania</t>
  </si>
  <si>
    <t xml:space="preserve">Działa jak franszyza czasowa: pierwsze godziny przestoju zostają po Twojej stronie.</t>
  </si>
  <si>
    <t xml:space="preserve">Model okresu wyczekiwania</t>
  </si>
  <si>
    <t xml:space="preserve">Franszyza czasowa — pokrycie dopiero po upływie okresu. Trigger działający wstecz — po przekroczeniu okresu pokrywane jest całe zdarzenie. Sprawdź treść własnej polisy.</t>
  </si>
  <si>
    <t xml:space="preserve">Prawdopodobieństwo wypłaty</t>
  </si>
  <si>
    <t xml:space="preserve">Oczekiwane opóźnienie wypłaty</t>
  </si>
  <si>
    <t xml:space="preserve">Strata kwalifikowana (bazowa)</t>
  </si>
  <si>
    <t xml:space="preserve">Oczekiwany odzysk (bazowy)</t>
  </si>
  <si>
    <t xml:space="preserve">Odzysk NIGDY nie jest odejmowany od wyniku bazowego. To osobna, niepewna pozycja.</t>
  </si>
  <si>
    <t xml:space="preserve">Koszt finansowania opóźnienia odzysku</t>
  </si>
  <si>
    <t xml:space="preserve">Liczony ze stopy PF-19 z karty PROFIL FIRMY.</t>
  </si>
  <si>
    <t xml:space="preserve">Dashboard — wynik dla zarządu</t>
  </si>
  <si>
    <t xml:space="preserve">Wybierz scenariusz. Wszystkie liczby poniżej pochodzą wyłącznie z Twoich danych.</t>
  </si>
  <si>
    <t xml:space="preserve">Scenariusz do pokazania</t>
  </si>
  <si>
    <t xml:space="preserve">Nazwa i typ zdarzenia</t>
  </si>
  <si>
    <t xml:space="preserve">Indeks scenariusza (pomocniczo)</t>
  </si>
  <si>
    <t xml:space="preserve">  KOSZT JEDNEGO ZDARZENIA — CZTERY PERSPEKTYWY (NIE SUMUJ ICH)</t>
  </si>
  <si>
    <t xml:space="preserve">w tym koszt gotówkowy (inkrementalny)</t>
  </si>
  <si>
    <t xml:space="preserve">Utracona zdolność operacyjna — KPI, nie dodawaj do P&amp;L</t>
  </si>
  <si>
    <t xml:space="preserve">Ekspozycje warunkowe — poza wynikiem bazowym</t>
  </si>
  <si>
    <t xml:space="preserve">Potencjalne odzyski — informacyjnie, nie potrącane</t>
  </si>
  <si>
    <t xml:space="preserve">  CZAS, RTO I RYZYKO ROCZNE</t>
  </si>
  <si>
    <t xml:space="preserve">Czas kalendarzowy zdarzenia [h]</t>
  </si>
  <si>
    <t xml:space="preserve">Efektywne godziny przestoju [h]</t>
  </si>
  <si>
    <t xml:space="preserve">Najkrótszy RTO wśród procesów objętych [h]</t>
  </si>
  <si>
    <t xml:space="preserve">Najkrótszy MTPD / MAO wśród procesów objętych [h]</t>
  </si>
  <si>
    <t xml:space="preserve">Zapas między RTO a MTPD [h]</t>
  </si>
  <si>
    <t xml:space="preserve">Czy efektywny przestój przekracza MTPD?</t>
  </si>
  <si>
    <t xml:space="preserve">Oczekiwana roczna strata (P&amp;L) — bazowa [zł/rok]</t>
  </si>
  <si>
    <t xml:space="preserve">  TOP 5 SKŁADNIKÓW WPŁYWU NA P&amp;L</t>
  </si>
  <si>
    <t xml:space="preserve">Składnik</t>
  </si>
  <si>
    <t xml:space="preserve">Kwota bazowa</t>
  </si>
  <si>
    <t xml:space="preserve">Udział w P&amp;L</t>
  </si>
  <si>
    <t xml:space="preserve">  KOSZT NARASTAJĄCY W CZASIE (wpływ na P&amp;L)</t>
  </si>
  <si>
    <t xml:space="preserve">Koszt P&amp;L</t>
  </si>
  <si>
    <t xml:space="preserve">Dwa ostatnie wiersze są puste celowo — wpisz własne punkty czasowe, np. długość swojego okna serwisowego albo zapisany w umowie cel przywrócenia.</t>
  </si>
  <si>
    <t xml:space="preserve">  ANALIZA WRAŻLIWOŚCI — rozrzut wynikający z TWOICH zakresów</t>
  </si>
  <si>
    <t xml:space="preserve">Rozrzut (wysoki − niski)</t>
  </si>
  <si>
    <t xml:space="preserve">To nie jest arbitralne ±20%. Rozrzut pochodzi wyłącznie z zakresów, które sam wpisałeś. Składnik na górze listy najbardziej opłaca się doprecyzować.</t>
  </si>
  <si>
    <t xml:space="preserve">  KOMPLETNOŚĆ I PEWNOŚĆ DANYCH</t>
  </si>
  <si>
    <t xml:space="preserve">Wypełnione pola wymagane w PROFIL FIRMY</t>
  </si>
  <si>
    <t xml:space="preserve">Pozycje włączone do wyniku bez wartości bazowej</t>
  </si>
  <si>
    <t xml:space="preserve">Pozycje oznaczone jako NIEPOLICZONE</t>
  </si>
  <si>
    <t xml:space="preserve">Udział pozycji o wysokiej pewności wśród włączonych</t>
  </si>
  <si>
    <t xml:space="preserve">Otwarte ostrzeżenia na karcie QA</t>
  </si>
  <si>
    <t xml:space="preserve">Ocena kompletności</t>
  </si>
  <si>
    <t xml:space="preserve">  INTERPRETACJA</t>
  </si>
  <si>
    <t xml:space="preserve">  DANE POMOCNICZE DO LIST I WYKRESÓW (nie edytuj)</t>
  </si>
  <si>
    <t xml:space="preserve">Lp.</t>
  </si>
  <si>
    <t xml:space="preserve">Bazowa</t>
  </si>
  <si>
    <t xml:space="preserve">Niska</t>
  </si>
  <si>
    <t xml:space="preserve">Wysoka</t>
  </si>
  <si>
    <t xml:space="preserve">Klucz sortowania</t>
  </si>
  <si>
    <t xml:space="preserve">Klucz rozrzutu</t>
  </si>
  <si>
    <t xml:space="preserve">Utracona marża pokrycia (silnik)</t>
  </si>
  <si>
    <t xml:space="preserve">Dane i odtwarzanie (karta) → gotówka</t>
  </si>
  <si>
    <t xml:space="preserve">Klient / prawo / cyber → gotówka</t>
  </si>
  <si>
    <t xml:space="preserve">Klucz sortowania i klucz rozrzutu zawierają techniczny dodatek 0,000001 × Lp., który rozstrzyga remisy przy wyborze pięciu największych pozycji. Nie wpływa on na żadną kwotę pokazywaną użytkownikowi.</t>
  </si>
  <si>
    <t xml:space="preserve">  DANE POMOCNICZE — RTO I MTPD PROCESÓW OBJĘTYCH SCENARIUSZEM</t>
  </si>
  <si>
    <t xml:space="preserve">Udział w scenariuszu</t>
  </si>
  <si>
    <t xml:space="preserve">RTO (jeśli objęty)</t>
  </si>
  <si>
    <t xml:space="preserve">MTPD (jeśli objęty)</t>
  </si>
  <si>
    <t xml:space="preserve">KOSZT PRZESTOJU IT — PODSUMOWANIE</t>
  </si>
  <si>
    <t xml:space="preserve">  WYNIK JEDNEGO ZDARZENIA</t>
  </si>
  <si>
    <t xml:space="preserve">Utracona zdolność operacyjna (KPI — nie sumować z P&amp;L)</t>
  </si>
  <si>
    <t xml:space="preserve">Ekspozycje warunkowe (poza wynikiem bazowym)</t>
  </si>
  <si>
    <t xml:space="preserve">Potencjalne odzyski (informacyjnie, nie potrącane)</t>
  </si>
  <si>
    <t xml:space="preserve">  CZAS, RTO I EKSPOZYCJA ROCZNA</t>
  </si>
  <si>
    <t xml:space="preserve">Czy zdarzenie przekracza akceptowalny próg?</t>
  </si>
  <si>
    <t xml:space="preserve">  PIĘĆ NAJWAŻNIEJSZYCH SKŁADNIKÓW WYNIKU</t>
  </si>
  <si>
    <t xml:space="preserve">  TRZY NAJWIĘKSZE LUKI W DANYCH</t>
  </si>
  <si>
    <t xml:space="preserve">Ekspozycje rozpoznane, ale niepoliczone</t>
  </si>
  <si>
    <t xml:space="preserve">Otwarte ostrzeżenia kontroli QA</t>
  </si>
  <si>
    <t xml:space="preserve">Ocena kompletności danych</t>
  </si>
  <si>
    <t xml:space="preserve">  WARIANT PO DZIAŁANIU OGRANICZAJĄCYM RYZYKO</t>
  </si>
  <si>
    <t xml:space="preserve">Rozważane działanie</t>
  </si>
  <si>
    <t xml:space="preserve">Uniknięta roczna ekspozycja (bazowa)</t>
  </si>
  <si>
    <t xml:space="preserve">Koszt jednorazowy</t>
  </si>
  <si>
    <t xml:space="preserve">Efekt netto w 1. roku</t>
  </si>
  <si>
    <t xml:space="preserve">ROI run-rate</t>
  </si>
  <si>
    <t xml:space="preserve">Okres zwrotu [mies.]</t>
  </si>
  <si>
    <t xml:space="preserve">Wniosek</t>
  </si>
  <si>
    <t xml:space="preserve">Chcesz sprawdzić, gdzie Twoja firma realnie może stanąć? Umów bezpłatny przegląd IT.</t>
  </si>
  <si>
    <t xml:space="preserve">Słownik i metody</t>
  </si>
  <si>
    <t xml:space="preserve">Definicje, formuły i ostrzeżenia. Każda formuła biznesowa użyta w pliku jest tu opisana i wskazana z dokładnością do karty i kolumny.</t>
  </si>
  <si>
    <t xml:space="preserve">  DEFINICJE</t>
  </si>
  <si>
    <t xml:space="preserve">Pojęcie</t>
  </si>
  <si>
    <t xml:space="preserve">Znaczenie</t>
  </si>
  <si>
    <t xml:space="preserve">MTPD / MAO</t>
  </si>
  <si>
    <t xml:space="preserve">Maksymalny akceptowalny czas przerwy. Po jego przekroczeniu skutki dla organizacji stają się nieakceptowalne. Wyznacza górną granicę dla RTO. Źródło: ISO 22301, NIST SP 800-34 Rev.1 (jako MTD).</t>
  </si>
  <si>
    <t xml:space="preserve">RTO</t>
  </si>
  <si>
    <t xml:space="preserve">Docelowy czas przywrócenia zasobu lub usługi. Musi być krótszy niż MTPD, bo po przywróceniu technicznym zostaje jeszcze czas na uzgodnienie danych i nadrobienie zaległości.</t>
  </si>
  <si>
    <t xml:space="preserve">RPO</t>
  </si>
  <si>
    <t xml:space="preserve">Punkt w czasie, do którego da się odtworzyć dane — czyli ile pracy realnie znika. Inaczej niż RTO, RPO nie jest częścią maksymalnego dopuszczalnego czasu przestoju.</t>
  </si>
  <si>
    <t xml:space="preserve">MBCO</t>
  </si>
  <si>
    <t xml:space="preserve">Minimalny poziom usługi lub produkcji, który organizacja akceptuje w czasie zakłócenia, zanim wróci do pełnej sprawności.</t>
  </si>
  <si>
    <t xml:space="preserve">Przychód minus koszty zmienne. To ona znika przy utraconej sprzedaży — nie cały przychód, bo wraz z nim odpadają koszty zmienne.</t>
  </si>
  <si>
    <t xml:space="preserve">Suma po fazach: czas fazy × utrata wydajności × (1 − wydajność obejścia). To nie to samo co czas trwania awarii.</t>
  </si>
  <si>
    <t xml:space="preserve">Wartość opłaconego, ale niewykorzystanego czasu ludzi. KPI operacyjny. Nie wchodzi do P&amp;L, bo wynagrodzenia są ponoszone niezależnie od awarii.</t>
  </si>
  <si>
    <t xml:space="preserve">Koszt inkrementalny (gotówka)</t>
  </si>
  <si>
    <t xml:space="preserve">Wyłącznie te pieniądze, które wypłyną z firmy DODATKOWO z powodu zdarzenia: nadgodziny, serwis zewnętrzny, sprzęt, ekspres, kary.</t>
  </si>
  <si>
    <t xml:space="preserve">Ekspozycja warunkowa</t>
  </si>
  <si>
    <t xml:space="preserve">Skutek, który może wystąpić: kara, roszczenie, odejście klienta. Wchodzi do wyniku rozszerzonego jako kwota × prawdopodobieństwo i tylko po świadomym włączeniu.</t>
  </si>
  <si>
    <t xml:space="preserve">Sprzedaż odroczona</t>
  </si>
  <si>
    <t xml:space="preserve">Sprzedaż, która wróci później. Nie jest utraconą marżą. Generuje koszt finansowania, koszt nadrabiania i ewentualny rabat.</t>
  </si>
  <si>
    <t xml:space="preserve">Oczekiwana roczna strata</t>
  </si>
  <si>
    <t xml:space="preserve">Koszt jednego zdarzenia × oczekiwana częstotliwość w roku. Miara ryzyka, nie prognoza wydatku.</t>
  </si>
  <si>
    <t xml:space="preserve">Uniknięta ekspozycja</t>
  </si>
  <si>
    <t xml:space="preserve">Różnica rocznej straty przed i po działaniu. To redukcja ryzyka, nie oszczędność gotówkowa.</t>
  </si>
  <si>
    <t xml:space="preserve">Etykieta łącząca wiersze opisujące TĘ SAMĄ stratę. Tylko jeden wiersz z grupy może mieć „Wchodzi do wyniku = TAK”.</t>
  </si>
  <si>
    <t xml:space="preserve">SUROGAT</t>
  </si>
  <si>
    <t xml:space="preserve">Sytuacja, w której proces nie ma metody wyceny marży (np. szkoła, urząd, proces wsparcia). Jedyną miarą jest wtedy utracona zdolność operacyjna.</t>
  </si>
  <si>
    <t xml:space="preserve">  KATALOG FORMUŁ</t>
  </si>
  <si>
    <t xml:space="preserve">Wielkość</t>
  </si>
  <si>
    <t xml:space="preserve">Formuła</t>
  </si>
  <si>
    <t xml:space="preserve">Gdzie w pliku</t>
  </si>
  <si>
    <t xml:space="preserve">Efektywne godziny przestoju H(s)</t>
  </si>
  <si>
    <t xml:space="preserve">SUMA po fazach: czas fazy × utrata wydajności × (1 − wydajność obejścia)</t>
  </si>
  <si>
    <t xml:space="preserve">SCENARIUSZE, kolumny I:K (fazy) → kolumny M:O (nagłówki scenariuszy)</t>
  </si>
  <si>
    <t xml:space="preserve">Efektywne godziny procesu</t>
  </si>
  <si>
    <t xml:space="preserve">udział procesu objętego zdarzeniem × H(s)</t>
  </si>
  <si>
    <t xml:space="preserve">SCENARIUSZE, macierz objęcia C19:J30</t>
  </si>
  <si>
    <t xml:space="preserve">Marża na godzinę procesu</t>
  </si>
  <si>
    <t xml:space="preserve">zależnie od metody: przychód/h × marża% ALBO jednostki/h × marża na jednostkę ALBO udział billable × marża na godzinę billable ALBO wartość ręczna</t>
  </si>
  <si>
    <t xml:space="preserve">PROCESY, kolumna O</t>
  </si>
  <si>
    <t xml:space="preserve">Utracona marża scenariusza</t>
  </si>
  <si>
    <t xml:space="preserve">H(s) × SUMA po procesach (udział × marża na godzinę × udział nieodzyskiwalny)</t>
  </si>
  <si>
    <t xml:space="preserve">SCENARIUSZE, wiersze „Utracona marża”</t>
  </si>
  <si>
    <t xml:space="preserve">H(s) × SUMA po procesach (udział × liczba osób × pełny koszt godziny pracodawcy)</t>
  </si>
  <si>
    <t xml:space="preserve">SCENARIUSZE, wiersze „Utracona zdolność operacyjna (silnik)”</t>
  </si>
  <si>
    <t xml:space="preserve">Wpływ na P&amp;L</t>
  </si>
  <si>
    <t xml:space="preserve">utracona marża + koszty gotówkowe + niegotówkowe skutki P&amp;L + dane→gotówka + klient→gotówka</t>
  </si>
  <si>
    <t xml:space="preserve">SCENARIUSZE, wiersze „WPŁYW NA WYNIK FINANSOWY”</t>
  </si>
  <si>
    <t xml:space="preserve">Koszt ponownego wprowadzenia danych</t>
  </si>
  <si>
    <t xml:space="preserve">liczba rekordów × minuty na rekord ÷ 60 × koszt godziny osoby (+ osobno godziny uzgodnień)</t>
  </si>
  <si>
    <t xml:space="preserve">DANE I ODTWARZANIE, kolumny O:Q</t>
  </si>
  <si>
    <t xml:space="preserve">Koszt finansowania odroczenia</t>
  </si>
  <si>
    <t xml:space="preserve">wartość odroczonego wpływu × dni opóźnienia ÷ 365 × roczna stopa finansowania</t>
  </si>
  <si>
    <t xml:space="preserve">KOSZTY SZCZEGÓŁOWE (metoda „Finansowanie odroczenia”); stopa: PROFIL FIRMY PF-19</t>
  </si>
  <si>
    <t xml:space="preserve">kwota ekspozycji × prawdopodobieństwo, tylko przy „Wchodzi do wyniku = TAK”</t>
  </si>
  <si>
    <t xml:space="preserve">KLIENT PRAWO CYBER, kolumny M:O oraz KOSZTY SZCZEGÓŁOWE perspektywa WARUNKOWA</t>
  </si>
  <si>
    <t xml:space="preserve">wpływ na P&amp;L × częstotliwość (zdarzeń na rok albo prawdopodobieństwo w roku — jedno z dwóch)</t>
  </si>
  <si>
    <t xml:space="preserve">SCENARIUSZE, wiersze „Oczekiwana roczna strata”</t>
  </si>
  <si>
    <t xml:space="preserve">Koszt zdarzenia po działaniu</t>
  </si>
  <si>
    <t xml:space="preserve">część zależna od czasu × (1 − redukcja czasu) + część niezależna × (1 − redukcja wpływu)</t>
  </si>
  <si>
    <t xml:space="preserve">RYZYKO I ROI, kolumna O</t>
  </si>
  <si>
    <t xml:space="preserve">Uniknięta roczna ekspozycja</t>
  </si>
  <si>
    <t xml:space="preserve">roczna strata przed − roczna strata po</t>
  </si>
  <si>
    <t xml:space="preserve">RYZYKO I ROI, D23:D25</t>
  </si>
  <si>
    <t xml:space="preserve">uniknięta ekspozycja − koszt jednorazowy − utrzymanie w 1. roku</t>
  </si>
  <si>
    <t xml:space="preserve">RYZYKO I ROI, D26</t>
  </si>
  <si>
    <t xml:space="preserve">ROI w 1. roku</t>
  </si>
  <si>
    <t xml:space="preserve">efekt netto 1. roku ÷ (koszt jednorazowy + utrzymanie w 1. roku)</t>
  </si>
  <si>
    <t xml:space="preserve">RYZYKO I ROI, D27</t>
  </si>
  <si>
    <t xml:space="preserve">Efekt netto run-rate</t>
  </si>
  <si>
    <t xml:space="preserve">uniknięta ekspozycja − roczny koszt utrzymania</t>
  </si>
  <si>
    <t xml:space="preserve">RYZYKO I ROI, D28</t>
  </si>
  <si>
    <t xml:space="preserve">efekt netto run-rate ÷ roczny koszt utrzymania (0 → „nie dotyczy”)</t>
  </si>
  <si>
    <t xml:space="preserve">RYZYKO I ROI, D29</t>
  </si>
  <si>
    <t xml:space="preserve">koszt jednorazowy ÷ (efekt netto run-rate ÷ 12)</t>
  </si>
  <si>
    <t xml:space="preserve">RYZYKO I ROI, D30</t>
  </si>
  <si>
    <t xml:space="preserve">Strata kwalifikowana z polisy</t>
  </si>
  <si>
    <t xml:space="preserve">franszyza czasowa: P&amp;L × max(0, (H − okres wyczekiwania) ÷ H); trigger wstecz: całe P&amp;L, gdy H ≥ okres wyczekiwania</t>
  </si>
  <si>
    <t xml:space="preserve">RYZYKO I ROI, D46</t>
  </si>
  <si>
    <t xml:space="preserve">Oczekiwany odzysk</t>
  </si>
  <si>
    <t xml:space="preserve">max(0, min(limit, strata kwalifikowana − udział własny)) × prawdopodobieństwo wypłaty</t>
  </si>
  <si>
    <t xml:space="preserve">RYZYKO I ROI, D47</t>
  </si>
  <si>
    <t xml:space="preserve">  DWANAŚCIE REGUŁ PRZECIW PODWÓJNEMU LICZENIU</t>
  </si>
  <si>
    <t xml:space="preserve">1.  Nie sumuj wynagrodzeń zatrzymanych pracowników z utraconą marżą. To ta sama strata opisana dwa razy.</t>
  </si>
  <si>
    <t xml:space="preserve">2.  Nie traktuj całego utraconego przychodu jak straty — stratą jest marża pokrycia.</t>
  </si>
  <si>
    <t xml:space="preserve">3.  Nie stosuj dwóch metod wyceny dla jednego procesu.</t>
  </si>
  <si>
    <t xml:space="preserve">4.  Nie licz sprzedaży odroczonej jako utraconej. Odroczenie generuje koszt finansowania i nadrabiania.</t>
  </si>
  <si>
    <t xml:space="preserve">5.  Metoda billable zastępuje liczenie czasu tych samych osób w kategorii K1 — nie dodawaj obu.</t>
  </si>
  <si>
    <t xml:space="preserve">6.  Wynagrodzenie zespołu IT reagującego na awarię to zdolność operacyjna. Do gotówki wchodzą tylko nadgodziny i wykonawca zewnętrzny.</t>
  </si>
  <si>
    <t xml:space="preserve">7.  Ta sama kara nie może być jednocześnie pozycją gotówkową i warunkową — użyj grupy wykluczającej.</t>
  </si>
  <si>
    <t xml:space="preserve">8.  Odzysku z ubezpieczenia nie odejmuj od wyniku. Pokaż go osobno.</t>
  </si>
  <si>
    <t xml:space="preserve">9.  Koszt analizy przyczyn i działań zapobiegawczych to koszt poprawy, nie koszt incydentu.</t>
  </si>
  <si>
    <t xml:space="preserve">10.  Jeśli dwa scenariusze obejmują ten sam proces w sumie powyżej 100%, prawdopodobnie opisują to samo zdarzenie dwa razy.</t>
  </si>
  <si>
    <t xml:space="preserve">11.  Strata klientów biura rachunkowego nie jest stratą biura. Biuro ponosi swój koszt obsługi i ryzyko rekompensaty.</t>
  </si>
  <si>
    <t xml:space="preserve">12.  Reputacja nie jest procentem obrotu. Dopóki nie masz metody i dowodu, zostaje niepoliczona.</t>
  </si>
  <si>
    <t xml:space="preserve">  SKALA PEWNOŚCI — JAK JĄ CZYTAĆ</t>
  </si>
  <si>
    <t xml:space="preserve">•  Nie stosujemy syntetycznego „wyniku pewności 87,4%”. Pokazujemy trzy proste, sprawdzalne liczby: udział wypełnionych pól wymaganych, liczbę pozycji włączonych do wyniku bez wartości bazowej oraz udział pozycji o wysokiej pewności.</t>
  </si>
  <si>
    <t xml:space="preserve">•  Ocena zbiorcza: „Wysoka” — powyżej 80% pól wymaganych i brak pozycji bez wartości bazowej. „Średnia” — powyżej 50% pól wymaganych. „Niska” — poniżej 50% albo są otwarte błędy QA.</t>
  </si>
  <si>
    <t xml:space="preserve">•  Puste pole to brak danych, nie zero. Model nigdy nie zastępuje braku danych wartością domyślną.</t>
  </si>
  <si>
    <t xml:space="preserve">•  Benchmarki zewnętrzne są wyłączone domyślnie i nie zasilają żadnej formuły. Służą wyłącznie do porównania po policzeniu wyniku z Twoich danych.</t>
  </si>
  <si>
    <t xml:space="preserve">•  Wersja metodologii: 1.0 z 31.07.2026. Pełny rejestr źródeł: karta ŹRÓDŁA I ZAŁOŻENIA oraz plik 01_RESEARCH/02_REJESTR_ZRODEL.csv w paczce narzędzia.</t>
  </si>
  <si>
    <t xml:space="preserve">Źródła i założenia</t>
  </si>
  <si>
    <t xml:space="preserve">Skrócony rejestr źródeł użytych do zbudowania modelu. Pełna wersja z oceną wiarygodności, ograniczeniami i konfliktem interesów: plik 01_RESEARCH/02_REJESTR_ZRODEL.csv.</t>
  </si>
  <si>
    <t xml:space="preserve">ŻADNE ze źródeł poniżej nie jest wartością domyślną w tym pliku. Benchmarki zewnętrzne służą wyłącznie do porównania PO policzeniu wyniku z Twoich danych i nie zasilają żadnej formuły.</t>
  </si>
  <si>
    <t xml:space="preserve">  REJESTR ŹRÓDEŁ</t>
  </si>
  <si>
    <t xml:space="preserve">Organizacja</t>
  </si>
  <si>
    <t xml:space="preserve">Tytuł</t>
  </si>
  <si>
    <t xml:space="preserve">Data / dostęp</t>
  </si>
  <si>
    <t xml:space="preserve">Co wspiera w modelu</t>
  </si>
  <si>
    <t xml:space="preserve">Wiarygodność</t>
  </si>
  <si>
    <t xml:space="preserve">S-001</t>
  </si>
  <si>
    <t xml:space="preserve">NIST</t>
  </si>
  <si>
    <t xml:space="preserve">SP 800-34 Rev.1 — Contingency Planning Guide</t>
  </si>
  <si>
    <t xml:space="preserve">2010, dostęp 31.07.2026</t>
  </si>
  <si>
    <t xml:space="preserve">Definicje MTD, RTO, RPO; relacja RTO + czas przetworzenia ≤ MTD</t>
  </si>
  <si>
    <t xml:space="preserve">A</t>
  </si>
  <si>
    <t xml:space="preserve">S-002</t>
  </si>
  <si>
    <t xml:space="preserve">ISO</t>
  </si>
  <si>
    <t xml:space="preserve">ISO 22301:2019 — Business continuity management systems</t>
  </si>
  <si>
    <t xml:space="preserve">2019, dostęp 31.07.2026</t>
  </si>
  <si>
    <t xml:space="preserve">Ramy BCMS; pojęcia MTPD i MBCO (na podstawie oficjalnego opisu normy)</t>
  </si>
  <si>
    <t xml:space="preserve">S-003</t>
  </si>
  <si>
    <t xml:space="preserve">ISO 22313:2020 — Guidance on the use of ISO 22301</t>
  </si>
  <si>
    <t xml:space="preserve">2020, dostęp 31.07.2026</t>
  </si>
  <si>
    <t xml:space="preserve">Warstwa wytycznych do ISO 22301 — kontekst słownika</t>
  </si>
  <si>
    <t xml:space="preserve">S-004</t>
  </si>
  <si>
    <t xml:space="preserve">FEMA / Ready.gov</t>
  </si>
  <si>
    <t xml:space="preserve">Business Impact Analysis Worksheet</t>
  </si>
  <si>
    <t xml:space="preserve">Przedziały trwania przerwy i katalog skutków operacyjnych</t>
  </si>
  <si>
    <t xml:space="preserve">S-005</t>
  </si>
  <si>
    <t xml:space="preserve">SP 800-30 Rev.1 — Guide for Conducting Risk Assessments</t>
  </si>
  <si>
    <t xml:space="preserve">2012, dostęp 31.07.2026</t>
  </si>
  <si>
    <t xml:space="preserve">Rozdzielenie prawdopodobieństwa i skutku; podstawa rocznej ekspozycji</t>
  </si>
  <si>
    <t xml:space="preserve">S-006</t>
  </si>
  <si>
    <t xml:space="preserve">gov.pl / Ministerstwo Cyfryzacji</t>
  </si>
  <si>
    <t xml:space="preserve">Nowelizacja ustawy o KSC (wdrożenie NIS 2)</t>
  </si>
  <si>
    <t xml:space="preserve">obowiązuje od 03.04.2026, dostęp 31.07.2026</t>
  </si>
  <si>
    <t xml:space="preserve">Terminy: rejestracja 03.10.2026, SZBI 03.04.2027, audyt 03.04.2028</t>
  </si>
  <si>
    <t xml:space="preserve">S-007</t>
  </si>
  <si>
    <t xml:space="preserve">UODO</t>
  </si>
  <si>
    <t xml:space="preserve">Zgłaszanie naruszeń ochrony danych osobowych</t>
  </si>
  <si>
    <t xml:space="preserve">dostęp 31.07.2026</t>
  </si>
  <si>
    <t xml:space="preserve">72 h od stwierdzenia naruszenia, zgłoszenie etapowe, obowiązek zawiadomienia osób</t>
  </si>
  <si>
    <t xml:space="preserve">S-008</t>
  </si>
  <si>
    <t xml:space="preserve">EUR-Lex</t>
  </si>
  <si>
    <t xml:space="preserve">Rozporządzenie (UE) 2016/679 (RODO), art. 33 i 34</t>
  </si>
  <si>
    <t xml:space="preserve">2016, dostęp 31.07.2026</t>
  </si>
  <si>
    <t xml:space="preserve">Podstawa prawna terminu 72 h; kary wyłącznie jako ekspozycja warunkowa</t>
  </si>
  <si>
    <t xml:space="preserve">S-009</t>
  </si>
  <si>
    <t xml:space="preserve">GUS</t>
  </si>
  <si>
    <t xml:space="preserve">Koszty pracy w 2024 r.</t>
  </si>
  <si>
    <t xml:space="preserve">publikacja 28.11.2025, dostęp 31.07.2026</t>
  </si>
  <si>
    <t xml:space="preserve">Uzasadnienie liczenia PEŁNEGO kosztu pracodawcy; benchmark wyłączony domyślnie</t>
  </si>
  <si>
    <t xml:space="preserve">S-010</t>
  </si>
  <si>
    <t xml:space="preserve">ZUS</t>
  </si>
  <si>
    <t xml:space="preserve">Wysokość składek na ubezpieczenia społeczne</t>
  </si>
  <si>
    <t xml:space="preserve">stan 2026, dostęp 31.07.2026</t>
  </si>
  <si>
    <t xml:space="preserve">Składniki narzutu pracodawcy do pomocnika PF-14…PF-17</t>
  </si>
  <si>
    <t xml:space="preserve">S-011</t>
  </si>
  <si>
    <t xml:space="preserve">NBP</t>
  </si>
  <si>
    <t xml:space="preserve">Podstawowe stopy procentowe NBP</t>
  </si>
  <si>
    <t xml:space="preserve">lipiec 2026, dostęp 31.07.2026</t>
  </si>
  <si>
    <t xml:space="preserve">Punkt odniesienia dla pola PF-19; pole pozostaje puste domyślnie</t>
  </si>
  <si>
    <t xml:space="preserve">S-012</t>
  </si>
  <si>
    <t xml:space="preserve">Ministerstwo Finansów / KAS</t>
  </si>
  <si>
    <t xml:space="preserve">KSeF — tryby szczególne wystawiania faktur</t>
  </si>
  <si>
    <t xml:space="preserve">Realne obejście awarii istnieje → parametr „wydajność obejścia”</t>
  </si>
  <si>
    <t xml:space="preserve">S-013</t>
  </si>
  <si>
    <t xml:space="preserve">NASK / CERT Polska</t>
  </si>
  <si>
    <t xml:space="preserve">Raport roczny CERT Polska za 2025</t>
  </si>
  <si>
    <t xml:space="preserve">publikacja 08.04.2026, dostęp 31.07.2026</t>
  </si>
  <si>
    <t xml:space="preserve">Uzasadnienie osobnego modułu cyberincydentu; NIE służy do wyliczania częstotliwości</t>
  </si>
  <si>
    <t xml:space="preserve">S-014</t>
  </si>
  <si>
    <t xml:space="preserve">ENISA</t>
  </si>
  <si>
    <t xml:space="preserve">ENISA Threat Landscape 2025</t>
  </si>
  <si>
    <t xml:space="preserve">październik 2025, dostęp 31.07.2026</t>
  </si>
  <si>
    <t xml:space="preserve">Ransomware jako zagrożenie o największym skutku → osobny scenariusz</t>
  </si>
  <si>
    <t xml:space="preserve">S-015</t>
  </si>
  <si>
    <t xml:space="preserve">Uptime Institute</t>
  </si>
  <si>
    <t xml:space="preserve">Annual Outage Analysis 2025</t>
  </si>
  <si>
    <t xml:space="preserve">maj 2025, dostęp 31.07.2026</t>
  </si>
  <si>
    <t xml:space="preserve">Uzasadnienie przedziału zamiast jednej liczby; rola błędu ludzkiego i degradacji</t>
  </si>
  <si>
    <t xml:space="preserve">B</t>
  </si>
  <si>
    <t xml:space="preserve">S-016</t>
  </si>
  <si>
    <t xml:space="preserve">Sophos (dostawca)</t>
  </si>
  <si>
    <t xml:space="preserve">The State of Ransomware 2025</t>
  </si>
  <si>
    <t xml:space="preserve">czerwiec 2025, dostęp 31.07.2026</t>
  </si>
  <si>
    <t xml:space="preserve">Rozdzielenie kosztu odtworzenia od okupu; rozrzut czasu powrotu → model fazowy</t>
  </si>
  <si>
    <t xml:space="preserve">C</t>
  </si>
  <si>
    <t xml:space="preserve">S-017</t>
  </si>
  <si>
    <t xml:space="preserve">ACCA</t>
  </si>
  <si>
    <t xml:space="preserve">Throughput accounting and the theory of constraints</t>
  </si>
  <si>
    <t xml:space="preserve">Uzasadnienie liczenia marży pokrycia i roli wąskiego gardła</t>
  </si>
  <si>
    <t xml:space="preserve">S-018</t>
  </si>
  <si>
    <t xml:space="preserve">Google</t>
  </si>
  <si>
    <t xml:space="preserve">Use both Excel &amp; Sheets: best practices; Import data sets</t>
  </si>
  <si>
    <t xml:space="preserve">Ograniczenia importu .xlsx → dobór dozwolonych funkcji</t>
  </si>
  <si>
    <t xml:space="preserve">S-019</t>
  </si>
  <si>
    <t xml:space="preserve">Microsoft</t>
  </si>
  <si>
    <t xml:space="preserve">Formula compatibility issues in Excel; Excel specifications and limits</t>
  </si>
  <si>
    <t xml:space="preserve">Zasady zgodności formuł i limity arkusza</t>
  </si>
  <si>
    <t xml:space="preserve">S-020</t>
  </si>
  <si>
    <t xml:space="preserve">FreightWaves (materiał branżowy)</t>
  </si>
  <si>
    <t xml:space="preserve">Warehouse WMS downtime</t>
  </si>
  <si>
    <t xml:space="preserve">2026, dostęp 31.07.2026</t>
  </si>
  <si>
    <t xml:space="preserve">Katalog skutków w module magazynowym; liczb NIE użyto w modelu</t>
  </si>
  <si>
    <t xml:space="preserve">S-021</t>
  </si>
  <si>
    <t xml:space="preserve">rynek ubezpieczeniowy (materiały brokerskie)</t>
  </si>
  <si>
    <t xml:space="preserve">Cyber insurance — waiting period, business interruption</t>
  </si>
  <si>
    <t xml:space="preserve">2025–2026, dostęp 31.07.2026</t>
  </si>
  <si>
    <t xml:space="preserve">Mechanika odzysków: okres wyczekiwania, udział własny, limit, okres odszkodowawczy</t>
  </si>
  <si>
    <t xml:space="preserve">S-022</t>
  </si>
  <si>
    <t xml:space="preserve">DowntimeCalculator.tsx, site.ts, REJESTR_DECYZJI (DEC-013)</t>
  </si>
  <si>
    <t xml:space="preserve">2026-07-19/20</t>
  </si>
  <si>
    <t xml:space="preserve">Wersja minimalna kalkulatora jako punkt odniesienia; dane kontaktowe</t>
  </si>
  <si>
    <t xml:space="preserve">  SKALA WIARYGODNOŚCI</t>
  </si>
  <si>
    <t xml:space="preserve">•  A — źródło pierwotne lub oficjalne: akt prawny, norma, organ publiczny, statystyka publiczna, dokumentacja producenta.</t>
  </si>
  <si>
    <t xml:space="preserve">•  B — badanie lub materiał branżowy z opisaną metodyką, ale bez statusu źródła pierwotnego.</t>
  </si>
  <si>
    <t xml:space="preserve">•  C — materiał z jawnym interesem komercyjnym albo bez pełnej metodyki. Użyty wyłącznie jako katalog kategorii lub mechanika, nigdy jako liczba w modelu.</t>
  </si>
  <si>
    <t xml:space="preserve">•  D — odrzucone: treści SEO, materiały afiliacyjne, „średnie rynkowe” bez źródła pierwotnego. Dwie takie pozycje odnotowano w pełnym rejestrze wraz z powodem odrzucenia.</t>
  </si>
  <si>
    <t xml:space="preserve">  TWOJE ZAŁOŻENIA — WPISZ I PODPISZ</t>
  </si>
  <si>
    <t xml:space="preserve">Założenie</t>
  </si>
  <si>
    <t xml:space="preserve">Kto je przyjął</t>
  </si>
  <si>
    <t xml:space="preserve">Data</t>
  </si>
  <si>
    <t xml:space="preserve">Jak je potwierdzić</t>
  </si>
  <si>
    <t xml:space="preserve">PRZYKŁAD FIKCYJNY</t>
  </si>
  <si>
    <t xml:space="preserve">Ta karta jest w całości WYMYŚLONA i służy wyłącznie pokazaniu, jak czytać wynik. Żadna liczba na tej karcie nie jest średnią rynkową, benchmarkiem ani danymi prawdziwej firmy. Karta NIE jest połączona z żadną formułą modelu — możesz ją usunąć albo zignorować bez wpływu na obliczenia.</t>
  </si>
  <si>
    <t xml:space="preserve">  SYTUACJA (FIKCYJNA)</t>
  </si>
  <si>
    <t xml:space="preserve">•  Fikcyjna hurtownia techniczna „Przykład sp. z o.o.”, 38 osób, jedna lokalizacja, praca pn–pt 8–17.</t>
  </si>
  <si>
    <t xml:space="preserve">•  Zdarzenie: awaria przełącznika rdzeniowego. WMS i terminale magazynowe niedostępne.</t>
  </si>
  <si>
    <t xml:space="preserve">•  Faza 1 wykrycie 0,5 h przy 30% utraty · faza 2 pełny przestój 2,0 h przy 100% · faza 3 obejście ręczne 3,0 h przy 100% utraty, ale obejście ratuje 55% pracy · faza 6 stabilizacja 4,0 h przy 25% utraty.</t>
  </si>
  <si>
    <t xml:space="preserve">•  Efektywne godziny przestoju: 0,5×0,3 + 2,0×1,0 + 3,0×1,0×(1−0,55) + 4,0×0,25 = 4,50 h.</t>
  </si>
  <si>
    <t xml:space="preserve">•  Czas kalendarzowy zdarzenia: 9,5 h. Różnica między 9,5 h a 4,50 h to właśnie wartość obejścia.</t>
  </si>
  <si>
    <t xml:space="preserve">  WYNIK (FIKCYJNY) — SKĄD SIĘ BIERZE</t>
  </si>
  <si>
    <t xml:space="preserve">Kwota</t>
  </si>
  <si>
    <t xml:space="preserve">Skąd ta liczba</t>
  </si>
  <si>
    <t xml:space="preserve">Proces „Kompletacja i wysyłka”: 100% objęty, marża 6 000 zł/h, 75% sprzedaży nieodzyskiwalne → 4,50 h × 6 000 × 0,75.</t>
  </si>
  <si>
    <t xml:space="preserve">Serwis zewnętrzny i sprzęt zastępczy</t>
  </si>
  <si>
    <t xml:space="preserve">Ryczałt wpisany przez firmę: przełącznik + robocizna.</t>
  </si>
  <si>
    <t xml:space="preserve">Transport ekspresowy dla 40 przesyłek</t>
  </si>
  <si>
    <t xml:space="preserve">40 × 90 zł. Ratuje część klientów, ale kosztuje.</t>
  </si>
  <si>
    <t xml:space="preserve">Nadgodziny na odrobienie backlogu</t>
  </si>
  <si>
    <t xml:space="preserve">Fikcyjnie: 60 h × 99 zł/h (koszt pracodawcy z dodatkiem).</t>
  </si>
  <si>
    <t xml:space="preserve">Suma powyższych czterech pozycji.</t>
  </si>
  <si>
    <t xml:space="preserve">Utracona zdolność operacyjna (KPI)</t>
  </si>
  <si>
    <t xml:space="preserve">32 osoby objęte × 90 zł/h × 4,50 h. NIE dodajemy tego do P&amp;L.</t>
  </si>
  <si>
    <t xml:space="preserve">Ekspozycje warunkowe (poza wynikiem)</t>
  </si>
  <si>
    <t xml:space="preserve">Możliwy chargeback 10 000 zł × 25% prawdopodobieństwa — świadomie włączony.</t>
  </si>
  <si>
    <t xml:space="preserve">Potencjalne odzyski (nie potrącane)</t>
  </si>
  <si>
    <t xml:space="preserve">Brak polisy BI. Gdyby była, odzysk byłby pokazany osobno, nigdy odjęty od P&amp;L.</t>
  </si>
  <si>
    <t xml:space="preserve">  CZEGO UCZY TEN PRZYKŁAD</t>
  </si>
  <si>
    <t xml:space="preserve">•  Awaria trwała 9,5 h, ale efektywnie kosztowała 4,50 h. Prosty kalkulator „osoby × godziny” policzyłby ponad dwukrotnie więcej.</t>
  </si>
  <si>
    <t xml:space="preserve">•  Utracona marża (20 250 zł) i utracona zdolność (12 960 zł) NIE sumują się do 33 210 zł. To ta sama sytuacja opisana z dwóch stron. Zsumowanie ich byłoby błędem.</t>
  </si>
  <si>
    <t xml:space="preserve">•  Gdyby 100% sprzedaży wróciło w kolejnym tygodniu, utracona marża wyniosłaby 0 zł, a realnym kosztem byłyby nadgodziny, ekspres i koszt finansowania opóźnienia.</t>
  </si>
  <si>
    <t xml:space="preserve">•  Chargeback jest pokazany osobno jako ekspozycja warunkowa, bo jeszcze nie wystąpił. Doliczenie go do wyniku bazowego zawyżyłoby stratę o 2 500 zł.</t>
  </si>
  <si>
    <t xml:space="preserve">•  Wszystkie liczby powyżej są wymyślone. Twój wynik będzie inny, bo pochodzi z Twoich danych.</t>
  </si>
  <si>
    <t xml:space="preserve">Karta PRZYKŁAD nie zawiera żadnych odwołań do pozostałych kart i żadna formuła modelu nie odwołuje się do niej. Usunięcie tej karty nie zepsuje pliku.</t>
  </si>
  <si>
    <t xml:space="preserve">QA — automatyczne kontrole</t>
  </si>
  <si>
    <t xml:space="preserve">Karta sprawdza Twoje dane, nie sam plik. Zero w kolumnie „Wynik” przy kontrolach oznaczonych jako BŁĄD jest warunkiem, żeby pokazać wynik komukolwiek na zewnątrz.</t>
  </si>
  <si>
    <t xml:space="preserve">  KONTROLE</t>
  </si>
  <si>
    <t xml:space="preserve">Kontrola</t>
  </si>
  <si>
    <t xml:space="preserve">Wynik</t>
  </si>
  <si>
    <t xml:space="preserve">Status</t>
  </si>
  <si>
    <t xml:space="preserve">Waga</t>
  </si>
  <si>
    <t xml:space="preserve">Co zrobić</t>
  </si>
  <si>
    <t xml:space="preserve">Parametr: liczba pól wymaganych w PROFIL FIRMY</t>
  </si>
  <si>
    <t xml:space="preserve">QA-01</t>
  </si>
  <si>
    <t xml:space="preserve">Wypełnione pola wymagane w PROFIL FIRMY (z 8)</t>
  </si>
  <si>
    <t xml:space="preserve">Wymagane: branża, typ organizacji, lokalizacje, liczba osób, godziny na dobę, dni w roku, koszt godziny, podstawa kosztowa.</t>
  </si>
  <si>
    <t xml:space="preserve">QA-02</t>
  </si>
  <si>
    <t xml:space="preserve">Procesy z wybraną metodą wyceny, ale bez danych tej metody</t>
  </si>
  <si>
    <t xml:space="preserve">ostrzeżenie</t>
  </si>
  <si>
    <t xml:space="preserve">Uzupełnij pola właściwe dla wybranej metody albo zmień metodę na „Nie dotyczy”.</t>
  </si>
  <si>
    <t xml:space="preserve">Jawna stała modelu. Zmień ją, jeśli zmienisz listę pól wymaganych w kontroli QA-01.</t>
  </si>
  <si>
    <t xml:space="preserve">QA-03</t>
  </si>
  <si>
    <t xml:space="preserve">Udział wypełnionych pól wymaganych w PROFIL FIRMY</t>
  </si>
  <si>
    <t xml:space="preserve">Poniżej 50% wynik jest bardzo zgrubny. Powyżej 80% można go pokazać zarządowi.</t>
  </si>
  <si>
    <t xml:space="preserve">QA-04</t>
  </si>
  <si>
    <t xml:space="preserve">Aktywne scenariusze bez wybranej miary częstotliwości</t>
  </si>
  <si>
    <t xml:space="preserve">Wybierz „Zdarzeń na rok” albo „Prawdopodobieństwo w roku”. Nie mieszaj obu miar.</t>
  </si>
  <si>
    <t xml:space="preserve">QA-05</t>
  </si>
  <si>
    <t xml:space="preserve">Aktywne scenariusze bez żadnego czasu fazy</t>
  </si>
  <si>
    <t xml:space="preserve">Uzupełnij czasy faz w sekcji 3 karty SCENARIUSZE — inaczej scenariusz nic nie liczy.</t>
  </si>
  <si>
    <t xml:space="preserve">QA-06</t>
  </si>
  <si>
    <t xml:space="preserve">Naruszenia „niska ≤ bazowa ≤ wysoka” w czasach faz</t>
  </si>
  <si>
    <t xml:space="preserve">blokująca</t>
  </si>
  <si>
    <t xml:space="preserve">Wariant niski nie może być dłuższy od bazowego, a wysoki krótszy od bazowego.</t>
  </si>
  <si>
    <t xml:space="preserve">QA-07</t>
  </si>
  <si>
    <t xml:space="preserve">Naruszenia „niska ≤ bazowa ≤ wysoka” w ilościach i stawkach kosztów</t>
  </si>
  <si>
    <t xml:space="preserve">Popraw kolejność wariantów w karcie KOSZTY SZCZEGÓŁOWE.</t>
  </si>
  <si>
    <t xml:space="preserve">QA-08</t>
  </si>
  <si>
    <t xml:space="preserve">Naruszenia „niska ≤ bazowa ≤ wysoka” w udziale nieodzyskiwalnym</t>
  </si>
  <si>
    <t xml:space="preserve">Popraw kolejność wariantów w karcie PROCESY.</t>
  </si>
  <si>
    <t xml:space="preserve">QA-09</t>
  </si>
  <si>
    <t xml:space="preserve">Wartości ujemne lub procenty powyżej 100% w kluczowych zakresach</t>
  </si>
  <si>
    <t xml:space="preserve">Czas, liczba osób, koszt i częstotliwość nie mogą być ujemne. Utrata wydajności, wydajność obejścia, udział nieodzyskiwalny i udział objęcia nie mogą przekraczać 100%.</t>
  </si>
  <si>
    <t xml:space="preserve">QA-10</t>
  </si>
  <si>
    <t xml:space="preserve">Brak danych to NIE jest zero. Uzupełnij wartość bazową albo przestaw „Wchodzi do wyniku” na NIE, albo oznacz klasę jako NIEPOLICZONE.</t>
  </si>
  <si>
    <t xml:space="preserve">QA-11</t>
  </si>
  <si>
    <t xml:space="preserve">Procesy objęte w aktywnych scenariuszach w sumie powyżej 100%</t>
  </si>
  <si>
    <t xml:space="preserve">Zwykle znaczy to, że dwa scenariusze opisują to samo zdarzenie — ryzyko podwójnego liczenia.</t>
  </si>
  <si>
    <t xml:space="preserve">QA-12</t>
  </si>
  <si>
    <t xml:space="preserve">Ryzyko dublowania: kategoria K1 z perspektywą P&amp;L</t>
  </si>
  <si>
    <t xml:space="preserve">Koszt czasu ludzi należy do perspektywy ZDOLNOŚĆ (wynagrodzenie bazowe) albo GOTÓWKA (nadgodziny, wykonawca). Perspektywa P&amp;L dubluje utraconą marżę.</t>
  </si>
  <si>
    <t xml:space="preserve">QA-13</t>
  </si>
  <si>
    <t xml:space="preserve">Grupy wykluczające z więcej niż jednym wierszem „TAK”</t>
  </si>
  <si>
    <t xml:space="preserve">W jednej grupie wykluczającej tylko jeden wiersz może wchodzić do wyniku.</t>
  </si>
  <si>
    <t xml:space="preserve">QA-14</t>
  </si>
  <si>
    <t xml:space="preserve">To rozpoznane ekspozycje bez wystarczających danych. Uczciwie pokazane, celowo nieliczone.</t>
  </si>
  <si>
    <t xml:space="preserve">QA-15</t>
  </si>
  <si>
    <t xml:space="preserve">Ekspozycje warunkowe włączone bez podanego prawdopodobieństwa</t>
  </si>
  <si>
    <t xml:space="preserve">Ekspozycja warunkowa wymaga świadomego podania prawdopodobieństwa. Bez niego wynik to 0.</t>
  </si>
  <si>
    <t xml:space="preserve">QA-16</t>
  </si>
  <si>
    <t xml:space="preserve">Organizacja niekomercyjna z ustawioną metodą wyceny marży</t>
  </si>
  <si>
    <t xml:space="preserve">Dla organizacji bez przychodu użyj metody „Nie dotyczy”. Nie wymuszamy fikcyjnego przychodu.</t>
  </si>
  <si>
    <t xml:space="preserve">QA-17</t>
  </si>
  <si>
    <t xml:space="preserve">Tekst wpisany w polach liczbowych</t>
  </si>
  <si>
    <t xml:space="preserve">Usuń tekst i jednostki z pól liczbowych — jednostka jest już w nagłówku kolumny.</t>
  </si>
  <si>
    <t xml:space="preserve">QA-18</t>
  </si>
  <si>
    <t xml:space="preserve">Błędy formuł w blokach wynikowych</t>
  </si>
  <si>
    <t xml:space="preserve">Jeśli tu jest cokolwiek poza zerem, wynik jest niewiarygodny — zgłoś to.</t>
  </si>
  <si>
    <t xml:space="preserve">QA-19</t>
  </si>
  <si>
    <t xml:space="preserve">Udział pozycji o wysokiej pewności wśród włączonych do wyniku</t>
  </si>
  <si>
    <t xml:space="preserve">Im wyżej, tym łatwiej obronić wynik przed księgowością.</t>
  </si>
  <si>
    <t xml:space="preserve">QA-20</t>
  </si>
  <si>
    <t xml:space="preserve">Pozycje włączone do wyniku bez przypisanego scenariusza</t>
  </si>
  <si>
    <t xml:space="preserve">Bez scenariusza pozycja nigdy nie trafi do żadnego wyniku.</t>
  </si>
  <si>
    <t xml:space="preserve">Otwarte ostrzeżenia i błędy razem</t>
  </si>
  <si>
    <t xml:space="preserve">  CO ZNACZĄ WAGI KONTROLI</t>
  </si>
  <si>
    <t xml:space="preserve">•  blokująca — dopóki wynik nie wynosi 0, nie pokazuj liczb na zewnątrz. To są błędy, które zmieniają wynik, a nie tylko psują estetykę.</t>
  </si>
  <si>
    <t xml:space="preserve">•  ostrzeżenie — wynik da się pokazać, ale trzeba wiedzieć, czego brakuje. Wpisz to do raportu jako lukę danych.</t>
  </si>
  <si>
    <t xml:space="preserve">•  informacja — liczba pomocnicza do oceny jakości danych, nie błąd.</t>
  </si>
  <si>
    <t xml:space="preserve">•  Karta QA sprawdza dane, nie poprawność Twojego rozumienia biznesu. Nawet przy samych „OK” warto skonfrontować wynik z księgowością i operacjami.</t>
  </si>
  <si>
    <t xml:space="preserve">Listy pomocnicze</t>
  </si>
  <si>
    <t xml:space="preserve">Źródła list rozwijanych. Nie usuwaj tej karty — zasila walidacje i formuły SUMIFS w całym skoroszycie.</t>
  </si>
  <si>
    <t xml:space="preserve">Branża / profil</t>
  </si>
  <si>
    <t xml:space="preserve">Metoda wyceny procesu</t>
  </si>
  <si>
    <t xml:space="preserve">Poziom pewności</t>
  </si>
  <si>
    <t xml:space="preserve">TAK / NIE</t>
  </si>
  <si>
    <t xml:space="preserve">Kategoria kosztu</t>
  </si>
  <si>
    <t xml:space="preserve">ID scenariusza</t>
  </si>
  <si>
    <t xml:space="preserve">Ryzyko dublowania</t>
  </si>
  <si>
    <t xml:space="preserve">Ujęcie kosztu pracy własnej</t>
  </si>
  <si>
    <t xml:space="preserve">Metoda obliczenia pozycji</t>
  </si>
  <si>
    <t xml:space="preserve">Obszar klient / prawo / cyber</t>
  </si>
  <si>
    <t xml:space="preserve">Fazy zdarzenia</t>
  </si>
  <si>
    <t xml:space="preserve">Komercyjna</t>
  </si>
  <si>
    <t xml:space="preserve">Netto (VAT odliczalny)</t>
  </si>
  <si>
    <t xml:space="preserve">Produkcja</t>
  </si>
  <si>
    <t xml:space="preserve">Przychodowa</t>
  </si>
  <si>
    <t xml:space="preserve">Brak Internetu / WAN</t>
  </si>
  <si>
    <t xml:space="preserve">TAK</t>
  </si>
  <si>
    <t xml:space="preserve">Zdarzeń na rok</t>
  </si>
  <si>
    <t xml:space="preserve">Testowana odtworzeniem</t>
  </si>
  <si>
    <t xml:space="preserve">Krytyczny</t>
  </si>
  <si>
    <t xml:space="preserve">Bezpośrednia</t>
  </si>
  <si>
    <t xml:space="preserve">Franszyza czasowa</t>
  </si>
  <si>
    <t xml:space="preserve">Niekomercyjna</t>
  </si>
  <si>
    <t xml:space="preserve">Brutto (VAT nieodliczalny)</t>
  </si>
  <si>
    <t xml:space="preserve">Magazyn, logistyka, hurt</t>
  </si>
  <si>
    <t xml:space="preserve">Jednostkowa</t>
  </si>
  <si>
    <t xml:space="preserve">Awaria LAN / Wi-Fi</t>
  </si>
  <si>
    <t xml:space="preserve">DANE ŹRÓDŁOWE</t>
  </si>
  <si>
    <t xml:space="preserve">Średnia</t>
  </si>
  <si>
    <t xml:space="preserve">Prawdopodobieństwo w roku</t>
  </si>
  <si>
    <t xml:space="preserve">Możliwe — sprawdź</t>
  </si>
  <si>
    <t xml:space="preserve">Nietestowana</t>
  </si>
  <si>
    <t xml:space="preserve">Pośrednia</t>
  </si>
  <si>
    <t xml:space="preserve">Trigger działający wstecz</t>
  </si>
  <si>
    <t xml:space="preserve">Handel techniczny</t>
  </si>
  <si>
    <t xml:space="preserve">Billable</t>
  </si>
  <si>
    <t xml:space="preserve">Awaria serwera, storage lub wirtualizacji</t>
  </si>
  <si>
    <t xml:space="preserve">BENCHMARK</t>
  </si>
  <si>
    <t xml:space="preserve">Nieznana</t>
  </si>
  <si>
    <t xml:space="preserve">Średni</t>
  </si>
  <si>
    <t xml:space="preserve">Wspólna przyczyna</t>
  </si>
  <si>
    <t xml:space="preserve">Biuro rachunkowe / kancelaria</t>
  </si>
  <si>
    <t xml:space="preserve">Ręczna</t>
  </si>
  <si>
    <t xml:space="preserve">Niedostępność ERP / WMS / MES / systemu księgowego</t>
  </si>
  <si>
    <t xml:space="preserve">Rekordy × czas × koszt godziny</t>
  </si>
  <si>
    <t xml:space="preserve">Usługi profesjonalne</t>
  </si>
  <si>
    <t xml:space="preserve">Nie dotyczy</t>
  </si>
  <si>
    <t xml:space="preserve">Niedostępność Microsoft 365 / Google Workspace / SaaS</t>
  </si>
  <si>
    <t xml:space="preserve">Szkoła / instytucja publiczna</t>
  </si>
  <si>
    <t xml:space="preserve">Awaria zasilania lub UPS</t>
  </si>
  <si>
    <t xml:space="preserve">NIEPOLICZONE</t>
  </si>
  <si>
    <t xml:space="preserve">Kwota × prawdopodobieństwo</t>
  </si>
  <si>
    <t xml:space="preserve">Inna</t>
  </si>
  <si>
    <t xml:space="preserve">Uszkodzenie danych lub nieudane odtworzenie</t>
  </si>
  <si>
    <t xml:space="preserve">Cyberatak / ransomware</t>
  </si>
  <si>
    <t xml:space="preserve">Błąd zmiany lub aktualizacji</t>
  </si>
  <si>
    <t xml:space="preserve">Inne</t>
  </si>
  <si>
    <t xml:space="preserve">Awaria dostawcy lub integracji</t>
  </si>
  <si>
    <t xml:space="preserve">Incydent wielolokalizacyjny</t>
  </si>
  <si>
    <t xml:space="preserve">Częściowa degradacja wydajności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</si>
</sst>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#,##0.00"/>
    <numFmt numFmtId="167" formatCode="0%"/>
    <numFmt numFmtId="168" formatCode="#,##0.00&quot; zł&quot;"/>
    <numFmt numFmtId="169" formatCode="0.0%"/>
  </numFmts>
  <fonts count="3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0092B"/>
      <name val="Arial"/>
      <family val="0"/>
      <charset val="1"/>
    </font>
    <font>
      <sz val="11"/>
      <color rgb="FF0164FF"/>
      <name val="Arial"/>
      <family val="0"/>
      <charset val="1"/>
    </font>
    <font>
      <sz val="8"/>
      <color rgb="FF5B627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10092B"/>
      <name val="Arial"/>
      <family val="0"/>
      <charset val="1"/>
    </font>
    <font>
      <sz val="9"/>
      <color rgb="FF24283A"/>
      <name val="Arial"/>
      <family val="0"/>
      <charset val="1"/>
    </font>
    <font>
      <b val="true"/>
      <sz val="9"/>
      <color rgb="FF0164FF"/>
      <name val="Arial"/>
      <family val="0"/>
      <charset val="1"/>
    </font>
    <font>
      <b val="true"/>
      <sz val="9"/>
      <color rgb="FF0B4FC4"/>
      <name val="Arial"/>
      <family val="0"/>
      <charset val="1"/>
    </font>
    <font>
      <b val="true"/>
      <sz val="9"/>
      <color rgb="FF10092B"/>
      <name val="Arial"/>
      <family val="0"/>
      <charset val="1"/>
    </font>
    <font>
      <i val="true"/>
      <sz val="8"/>
      <color rgb="FF5B6274"/>
      <name val="Arial"/>
      <family val="0"/>
      <charset val="1"/>
    </font>
    <font>
      <b val="true"/>
      <sz val="9"/>
      <color rgb="FF24283A"/>
      <name val="Arial"/>
      <family val="0"/>
      <charset val="1"/>
    </font>
    <font>
      <b val="true"/>
      <sz val="9"/>
      <color rgb="FF8A4B00"/>
      <name val="Arial"/>
      <family val="0"/>
      <charset val="1"/>
    </font>
    <font>
      <b val="true"/>
      <sz val="9"/>
      <color rgb="FF5B6274"/>
      <name val="Arial"/>
      <family val="0"/>
      <charset val="1"/>
    </font>
    <font>
      <b val="true"/>
      <sz val="9"/>
      <color rgb="FF0F6B3C"/>
      <name val="Arial"/>
      <family val="0"/>
      <charset val="1"/>
    </font>
    <font>
      <b val="true"/>
      <sz val="10"/>
      <color rgb="FF10092B"/>
      <name val="Arial"/>
      <family val="0"/>
      <charset val="1"/>
    </font>
    <font>
      <b val="true"/>
      <sz val="11"/>
      <color rgb="FF0164FF"/>
      <name val="Arial"/>
      <family val="0"/>
      <charset val="1"/>
    </font>
    <font>
      <b val="true"/>
      <sz val="16"/>
      <color rgb="FF10092B"/>
      <name val="Arial"/>
      <family val="0"/>
      <charset val="1"/>
    </font>
    <font>
      <sz val="9"/>
      <color rgb="FF5B6274"/>
      <name val="Arial"/>
      <family val="0"/>
      <charset val="1"/>
    </font>
    <font>
      <b val="true"/>
      <sz val="8"/>
      <color rgb="FF10092B"/>
      <name val="Arial"/>
      <family val="0"/>
      <charset val="1"/>
    </font>
    <font>
      <sz val="9"/>
      <color rgb="FF0B4FC4"/>
      <name val="Arial"/>
      <family val="0"/>
      <charset val="1"/>
    </font>
    <font>
      <i val="true"/>
      <sz val="9"/>
      <color rgb="FF24283A"/>
      <name val="Arial"/>
      <family val="0"/>
      <charset val="1"/>
    </font>
    <font>
      <b val="true"/>
      <sz val="11"/>
      <color rgb="FF0B4FC4"/>
      <name val="Arial"/>
      <family val="0"/>
      <charset val="1"/>
    </font>
    <font>
      <i val="true"/>
      <sz val="9"/>
      <color rgb="FF5B6274"/>
      <name val="Arial"/>
      <family val="0"/>
      <charset val="1"/>
    </font>
    <font>
      <sz val="10"/>
      <name val="Arial"/>
      <family val="2"/>
    </font>
    <font>
      <b val="true"/>
      <sz val="8"/>
      <color rgb="FF5B6274"/>
      <name val="Arial"/>
      <family val="0"/>
      <charset val="1"/>
    </font>
    <font>
      <sz val="9"/>
      <color rgb="FF0F6B3C"/>
      <name val="Arial"/>
      <family val="0"/>
      <charset val="1"/>
    </font>
    <font>
      <b val="true"/>
      <sz val="10"/>
      <color rgb="FF0164FF"/>
      <name val="Arial"/>
      <family val="0"/>
      <charset val="1"/>
    </font>
    <font>
      <b val="true"/>
      <sz val="12"/>
      <color rgb="FF10092B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4"/>
      <color rgb="FF8A4B0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0092B"/>
        <bgColor rgb="FF000000"/>
      </patternFill>
    </fill>
    <fill>
      <patternFill patternType="solid">
        <fgColor rgb="FFF2F6FF"/>
        <bgColor rgb="FFEEF3FD"/>
      </patternFill>
    </fill>
    <fill>
      <patternFill patternType="solid">
        <fgColor rgb="FFFFFBEA"/>
        <bgColor rgb="FFFFFFFF"/>
      </patternFill>
    </fill>
    <fill>
      <patternFill patternType="solid">
        <fgColor rgb="FFEEF3FD"/>
        <bgColor rgb="FFF2F6FF"/>
      </patternFill>
    </fill>
    <fill>
      <patternFill patternType="solid">
        <fgColor rgb="FFFDF0D5"/>
        <bgColor rgb="FFFFFBEA"/>
      </patternFill>
    </fill>
    <fill>
      <patternFill patternType="solid">
        <fgColor rgb="FFFFFFFF"/>
        <bgColor rgb="FFFFFBE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CE4F5"/>
      </left>
      <right style="thin">
        <color rgb="FFDCE4F5"/>
      </right>
      <top style="thin">
        <color rgb="FFDCE4F5"/>
      </top>
      <bottom style="thin">
        <color rgb="FFDCE4F5"/>
      </bottom>
      <diagonal/>
    </border>
    <border diagonalUp="false" diagonalDown="false">
      <left style="thin">
        <color rgb="FFDCE4F5"/>
      </left>
      <right style="thin">
        <color rgb="FFDCE4F5"/>
      </right>
      <top style="medium">
        <color rgb="FF1F6BFF"/>
      </top>
      <bottom style="thin">
        <color rgb="FFDCE4F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3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23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3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3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9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25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23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8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4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7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3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3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4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31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9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9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14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14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0F6B3C"/>
        <sz val="9"/>
      </font>
      <fill>
        <patternFill>
          <bgColor rgb="FFE7F6EE"/>
        </patternFill>
      </fill>
    </dxf>
    <dxf>
      <font>
        <name val="Arial"/>
        <charset val="1"/>
        <family val="0"/>
        <b val="1"/>
        <color rgb="FF8A4B00"/>
        <sz val="9"/>
      </font>
      <fill>
        <patternFill>
          <bgColor rgb="FFFDF0D5"/>
        </patternFill>
      </fill>
    </dxf>
    <dxf>
      <font>
        <name val="Arial"/>
        <charset val="1"/>
        <family val="0"/>
        <b val="1"/>
        <color rgb="FF9B1C1C"/>
        <sz val="9"/>
      </font>
      <fill>
        <patternFill>
          <bgColor rgb="FFFBE3E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F6B3C"/>
      <rgbColor rgb="FF10092B"/>
      <rgbColor rgb="FF808000"/>
      <rgbColor rgb="FF800080"/>
      <rgbColor rgb="FF008080"/>
      <rgbColor rgb="FFF2F6FF"/>
      <rgbColor rgb="FF878787"/>
      <rgbColor rgb="FF9999FF"/>
      <rgbColor rgb="FF8A4B00"/>
      <rgbColor rgb="FFFFFBEA"/>
      <rgbColor rgb="FFE7F6EE"/>
      <rgbColor rgb="FF660066"/>
      <rgbColor rgb="FFFF8080"/>
      <rgbColor rgb="FF0164FF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3FD"/>
      <rgbColor rgb="FFDCE4F5"/>
      <rgbColor rgb="FFFDF0D5"/>
      <rgbColor rgb="FF99CCFF"/>
      <rgbColor rgb="FFFF99CC"/>
      <rgbColor rgb="FFCC99FF"/>
      <rgbColor rgb="FFFBE3E3"/>
      <rgbColor rgb="FF1F6BFF"/>
      <rgbColor rgb="FF33CCCC"/>
      <rgbColor rgb="FF99CC00"/>
      <rgbColor rgb="FFFFCC00"/>
      <rgbColor rgb="FFFF9900"/>
      <rgbColor rgb="FFFF6600"/>
      <rgbColor rgb="FF5B6274"/>
      <rgbColor rgb="FF4F81BD"/>
      <rgbColor rgb="FF003366"/>
      <rgbColor rgb="FF4A7EBB"/>
      <rgbColor rgb="FF003300"/>
      <rgbColor rgb="FF333300"/>
      <rgbColor rgb="FF9B1C1C"/>
      <rgbColor rgb="FF993366"/>
      <rgbColor rgb="FF0B4FC4"/>
      <rgbColor rgb="FF2428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_rels/chart3.xml.rels><?xml version="1.0" encoding="UTF-8"?>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Top 5 składników wpływu na P&amp;L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DASHBOARD!C28</c:f>
              <c:strCache>
                <c:ptCount val="1"/>
                <c:pt idx="0">
                  <c:v>Kwota bazowa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DASHBOARD!$B$29:$B$33</c:f>
              <c:strCache>
                <c:ptCount val="5"/>
                <c:pt idx="0">
                  <c:v>Klient / prawo / cyber → gotówka</c:v>
                </c:pt>
                <c:pt idx="1">
                  <c:v>Dane i odtwarzanie (karta) → gotówka</c:v>
                </c:pt>
                <c:pt idx="2">
                  <c:v>K11 Inne koszty</c:v>
                </c:pt>
                <c:pt idx="3">
                  <c:v>K10 Cyber, naruszenie danych, fraud</c:v>
                </c:pt>
                <c:pt idx="4">
                  <c:v>K9 Klienci, kontrakty, komunikacja</c:v>
                </c:pt>
              </c:strCache>
            </c:strRef>
          </c:cat>
          <c:val>
            <c:numRef>
              <c:f>DASHBOARD!$C$29:$C$33</c:f>
              <c:numCache>
                <c:formatCode>#,##0.00" zł"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150"/>
        <c:overlap val="0"/>
        <c:axId val="81817582"/>
        <c:axId val="52579896"/>
      </c:barChart>
      <c:catAx>
        <c:axId val="8181758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52579896"/>
        <c:crosses val="autoZero"/>
        <c:auto val="1"/>
        <c:lblAlgn val="ctr"/>
        <c:lblOffset val="100"/>
        <c:noMultiLvlLbl val="0"/>
      </c:catAx>
      <c:valAx>
        <c:axId val="5257989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zł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zł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8181758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Koszt narastający w czasie (P&amp;L)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DASHBOARD!C36</c:f>
              <c:strCache>
                <c:ptCount val="1"/>
                <c:pt idx="0">
                  <c:v>Koszt P&amp;L</c:v>
                </c:pt>
              </c:strCache>
            </c:strRef>
          </c:tx>
          <c:spPr>
            <a:solidFill>
              <a:srgbClr val="4A7EBB"/>
            </a:solidFill>
            <a:ln w="1260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DASHBOARD!$B$37:$B$43</c:f>
              <c:strCache>
                <c:ptCount val="7"/>
                <c:pt idx="0">
                  <c:v>1.00</c:v>
                </c:pt>
                <c:pt idx="1">
                  <c:v>4.00</c:v>
                </c:pt>
                <c:pt idx="2">
                  <c:v>8.00</c:v>
                </c:pt>
                <c:pt idx="3">
                  <c:v>24.00</c:v>
                </c:pt>
                <c:pt idx="4">
                  <c:v>48.00</c:v>
                </c:pt>
                <c:pt idx="5">
                  <c:v/>
                </c:pt>
                <c:pt idx="6">
                  <c:v/>
                </c:pt>
              </c:strCache>
            </c:strRef>
          </c:cat>
          <c:val>
            <c:numRef>
              <c:f>DASHBOARD!$C$37:$C$43</c:f>
              <c:numCache>
                <c:formatCode>#,##0.00" zł"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78643960"/>
        <c:axId val="57228469"/>
      </c:lineChart>
      <c:catAx>
        <c:axId val="7864396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efektywne godziny przestoju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57228469"/>
        <c:crosses val="autoZero"/>
        <c:auto val="1"/>
        <c:lblAlgn val="ctr"/>
        <c:lblOffset val="100"/>
        <c:noMultiLvlLbl val="0"/>
      </c:catAx>
      <c:valAx>
        <c:axId val="5722846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zł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zł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8643960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Analiza wrażliwości — rozrzut składników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DASHBOARD!C47</c:f>
              <c:strCache>
                <c:ptCount val="1"/>
                <c:pt idx="0">
                  <c:v>Rozrzut (wysoki − niski)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DASHBOARD!$B$48:$B$52</c:f>
              <c:strCache>
                <c:ptCount val="5"/>
                <c:pt idx="0">
                  <c:v>Klient / prawo / cyber → gotówka</c:v>
                </c:pt>
                <c:pt idx="1">
                  <c:v>Dane i odtwarzanie (karta) → gotówka</c:v>
                </c:pt>
                <c:pt idx="2">
                  <c:v>K11 Inne koszty</c:v>
                </c:pt>
                <c:pt idx="3">
                  <c:v>K10 Cyber, naruszenie danych, fraud</c:v>
                </c:pt>
                <c:pt idx="4">
                  <c:v>K9 Klienci, kontrakty, komunikacja</c:v>
                </c:pt>
              </c:strCache>
            </c:strRef>
          </c:cat>
          <c:val>
            <c:numRef>
              <c:f>DASHBOARD!$C$48:$C$52</c:f>
              <c:numCache>
                <c:formatCode>#,##0.00" zł"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150"/>
        <c:overlap val="0"/>
        <c:axId val="73303542"/>
        <c:axId val="68519271"/>
      </c:barChart>
      <c:catAx>
        <c:axId val="7330354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8519271"/>
        <c:crosses val="autoZero"/>
        <c:auto val="1"/>
        <c:lblAlgn val="ctr"/>
        <c:lblOffset val="100"/>
        <c:noMultiLvlLbl val="0"/>
      </c:catAx>
      <c:valAx>
        <c:axId val="6851927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zł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zł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330354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1</xdr:row>
      <xdr:rowOff>0</xdr:rowOff>
    </xdr:from>
    <xdr:to>
      <xdr:col>4</xdr:col>
      <xdr:colOff>1618920</xdr:colOff>
      <xdr:row>4</xdr:row>
      <xdr:rowOff>142560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6766560" y="190440"/>
          <a:ext cx="1618920" cy="847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26</xdr:row>
      <xdr:rowOff>0</xdr:rowOff>
    </xdr:from>
    <xdr:to>
      <xdr:col>11</xdr:col>
      <xdr:colOff>270720</xdr:colOff>
      <xdr:row>36</xdr:row>
      <xdr:rowOff>172440</xdr:rowOff>
    </xdr:to>
    <xdr:graphicFrame>
      <xdr:nvGraphicFramePr>
        <xdr:cNvPr id="2" name="Chart 1"/>
        <xdr:cNvGraphicFramePr/>
      </xdr:nvGraphicFramePr>
      <xdr:xfrm>
        <a:off x="7119000" y="6419880"/>
        <a:ext cx="4499640" cy="259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35</xdr:row>
      <xdr:rowOff>0</xdr:rowOff>
    </xdr:from>
    <xdr:to>
      <xdr:col>11</xdr:col>
      <xdr:colOff>270720</xdr:colOff>
      <xdr:row>45</xdr:row>
      <xdr:rowOff>200880</xdr:rowOff>
    </xdr:to>
    <xdr:graphicFrame>
      <xdr:nvGraphicFramePr>
        <xdr:cNvPr id="3" name="Chart 2"/>
        <xdr:cNvGraphicFramePr/>
      </xdr:nvGraphicFramePr>
      <xdr:xfrm>
        <a:off x="7119000" y="8591400"/>
        <a:ext cx="4499640" cy="259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0</xdr:colOff>
      <xdr:row>45</xdr:row>
      <xdr:rowOff>0</xdr:rowOff>
    </xdr:from>
    <xdr:to>
      <xdr:col>11</xdr:col>
      <xdr:colOff>270720</xdr:colOff>
      <xdr:row>55</xdr:row>
      <xdr:rowOff>67320</xdr:rowOff>
    </xdr:to>
    <xdr:graphicFrame>
      <xdr:nvGraphicFramePr>
        <xdr:cNvPr id="4" name="Chart 3"/>
        <xdr:cNvGraphicFramePr/>
      </xdr:nvGraphicFramePr>
      <xdr:xfrm>
        <a:off x="7119000" y="10982160"/>
        <a:ext cx="4499640" cy="259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comments" Target="../comments10.xml"/><Relationship Id="rId2" Type="http://schemas.openxmlformats.org/officeDocument/2006/relationships/vmlDrawing" Target="../drawings/vmlDrawing7.v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2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3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4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vmlDrawing" Target="../drawings/vmlDrawing5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vmlDrawing" Target="../drawings/vmlDrawing6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true"/>
  </sheetPr>
  <dimension ref="A2:E4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3" min="3" style="0" width="34"/>
    <col collapsed="false" customWidth="true" hidden="false" outlineLevel="0" max="4" min="4" style="0" width="30"/>
    <col collapsed="false" customWidth="true" hidden="false" outlineLevel="0" max="5" min="5" style="0" width="34"/>
    <col collapsed="false" customWidth="true" hidden="false" outlineLevel="0" max="6" min="6" style="0" width="2"/>
  </cols>
  <sheetData>
    <row r="2" customFormat="false" ht="25.5" hidden="false" customHeight="tru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6" customFormat="false" ht="19.5" hidden="false" customHeight="true" outlineLevel="0" collapsed="false">
      <c r="A6" s="4" t="s">
        <v>3</v>
      </c>
      <c r="B6" s="5"/>
      <c r="C6" s="5"/>
      <c r="D6" s="5"/>
      <c r="E6" s="5"/>
    </row>
    <row r="8" customFormat="false" ht="15" hidden="false" customHeight="false" outlineLevel="0" collapsed="false">
      <c r="B8" s="6" t="s">
        <v>4</v>
      </c>
      <c r="D8" s="6" t="s">
        <v>5</v>
      </c>
    </row>
    <row r="9" customFormat="false" ht="81.75" hidden="false" customHeight="true" outlineLevel="0" collapsed="false">
      <c r="B9" s="7" t="s">
        <v>6</v>
      </c>
      <c r="D9" s="7" t="s">
        <v>7</v>
      </c>
    </row>
    <row r="12" customFormat="false" ht="19.5" hidden="false" customHeight="true" outlineLevel="0" collapsed="false">
      <c r="A12" s="4" t="s">
        <v>8</v>
      </c>
      <c r="B12" s="5"/>
      <c r="C12" s="5"/>
      <c r="D12" s="5"/>
      <c r="E12" s="5"/>
    </row>
    <row r="14" customFormat="false" ht="19.4" hidden="false" customHeight="false" outlineLevel="0" collapsed="false">
      <c r="B14" s="8" t="s">
        <v>9</v>
      </c>
      <c r="C14" s="9" t="s">
        <v>10</v>
      </c>
      <c r="D14" s="8" t="s">
        <v>11</v>
      </c>
      <c r="E14" s="9" t="s">
        <v>12</v>
      </c>
    </row>
    <row r="15" customFormat="false" ht="19.4" hidden="false" customHeight="false" outlineLevel="0" collapsed="false">
      <c r="B15" s="8" t="s">
        <v>13</v>
      </c>
      <c r="C15" s="9" t="s">
        <v>14</v>
      </c>
      <c r="D15" s="8" t="s">
        <v>15</v>
      </c>
      <c r="E15" s="9" t="s">
        <v>16</v>
      </c>
    </row>
    <row r="16" customFormat="false" ht="19.4" hidden="false" customHeight="false" outlineLevel="0" collapsed="false">
      <c r="B16" s="8" t="s">
        <v>17</v>
      </c>
      <c r="C16" s="9" t="s">
        <v>18</v>
      </c>
      <c r="D16" s="8" t="s">
        <v>19</v>
      </c>
      <c r="E16" s="9" t="s">
        <v>20</v>
      </c>
    </row>
    <row r="17" customFormat="false" ht="19.4" hidden="false" customHeight="false" outlineLevel="0" collapsed="false">
      <c r="B17" s="8" t="s">
        <v>21</v>
      </c>
      <c r="C17" s="9" t="s">
        <v>22</v>
      </c>
      <c r="D17" s="8" t="s">
        <v>23</v>
      </c>
      <c r="E17" s="9" t="s">
        <v>24</v>
      </c>
    </row>
    <row r="18" customFormat="false" ht="19.4" hidden="false" customHeight="false" outlineLevel="0" collapsed="false">
      <c r="B18" s="8" t="s">
        <v>25</v>
      </c>
      <c r="C18" s="9" t="s">
        <v>26</v>
      </c>
      <c r="D18" s="8" t="s">
        <v>27</v>
      </c>
      <c r="E18" s="9" t="s">
        <v>28</v>
      </c>
    </row>
    <row r="19" customFormat="false" ht="19.4" hidden="false" customHeight="false" outlineLevel="0" collapsed="false">
      <c r="B19" s="8" t="s">
        <v>29</v>
      </c>
      <c r="C19" s="9" t="s">
        <v>30</v>
      </c>
      <c r="D19" s="8" t="s">
        <v>31</v>
      </c>
      <c r="E19" s="9" t="s">
        <v>32</v>
      </c>
    </row>
    <row r="20" customFormat="false" ht="19.4" hidden="false" customHeight="false" outlineLevel="0" collapsed="false">
      <c r="B20" s="8" t="s">
        <v>33</v>
      </c>
      <c r="C20" s="9" t="s">
        <v>34</v>
      </c>
      <c r="D20" s="8" t="s">
        <v>35</v>
      </c>
      <c r="E20" s="9" t="s">
        <v>36</v>
      </c>
    </row>
    <row r="21" customFormat="false" ht="19.4" hidden="false" customHeight="false" outlineLevel="0" collapsed="false">
      <c r="B21" s="8" t="s">
        <v>37</v>
      </c>
      <c r="C21" s="9" t="s">
        <v>38</v>
      </c>
    </row>
    <row r="23" customFormat="false" ht="19.5" hidden="false" customHeight="true" outlineLevel="0" collapsed="false">
      <c r="A23" s="4" t="s">
        <v>39</v>
      </c>
      <c r="B23" s="5"/>
      <c r="C23" s="5"/>
      <c r="D23" s="5"/>
      <c r="E23" s="5"/>
    </row>
    <row r="25" customFormat="false" ht="15" hidden="false" customHeight="false" outlineLevel="0" collapsed="false">
      <c r="B25" s="10" t="s">
        <v>40</v>
      </c>
      <c r="C25" s="9" t="s">
        <v>41</v>
      </c>
      <c r="D25" s="11" t="s">
        <v>42</v>
      </c>
    </row>
    <row r="26" customFormat="false" ht="27.75" hidden="false" customHeight="true" outlineLevel="0" collapsed="false">
      <c r="B26" s="10" t="s">
        <v>43</v>
      </c>
      <c r="C26" s="9" t="s">
        <v>44</v>
      </c>
      <c r="D26" s="12" t="s">
        <v>45</v>
      </c>
      <c r="E26" s="12"/>
    </row>
    <row r="27" customFormat="false" ht="15" hidden="false" customHeight="false" outlineLevel="0" collapsed="false">
      <c r="B27" s="13" t="s">
        <v>46</v>
      </c>
      <c r="C27" s="9" t="s">
        <v>47</v>
      </c>
    </row>
    <row r="28" customFormat="false" ht="15" hidden="false" customHeight="false" outlineLevel="0" collapsed="false">
      <c r="B28" s="14" t="s">
        <v>48</v>
      </c>
      <c r="C28" s="9" t="s">
        <v>49</v>
      </c>
      <c r="D28" s="11" t="s">
        <v>50</v>
      </c>
    </row>
    <row r="29" customFormat="false" ht="27.75" hidden="false" customHeight="true" outlineLevel="0" collapsed="false">
      <c r="B29" s="15" t="s">
        <v>51</v>
      </c>
      <c r="C29" s="9" t="s">
        <v>52</v>
      </c>
      <c r="D29" s="12" t="s">
        <v>53</v>
      </c>
      <c r="E29" s="12"/>
    </row>
    <row r="32" customFormat="false" ht="19.5" hidden="false" customHeight="true" outlineLevel="0" collapsed="false">
      <c r="A32" s="4" t="s">
        <v>54</v>
      </c>
      <c r="B32" s="5"/>
      <c r="C32" s="5"/>
      <c r="D32" s="5"/>
      <c r="E32" s="5"/>
    </row>
    <row r="34" customFormat="false" ht="16.5" hidden="false" customHeight="true" outlineLevel="0" collapsed="false">
      <c r="B34" s="16" t="s">
        <v>55</v>
      </c>
      <c r="C34" s="16"/>
      <c r="D34" s="16"/>
      <c r="E34" s="16"/>
    </row>
    <row r="36" customFormat="false" ht="40.5" hidden="false" customHeight="true" outlineLevel="0" collapsed="false">
      <c r="B36" s="12" t="s">
        <v>56</v>
      </c>
      <c r="C36" s="12"/>
      <c r="D36" s="12"/>
      <c r="E36" s="12"/>
    </row>
    <row r="40" customFormat="false" ht="15" hidden="false" customHeight="false" outlineLevel="0" collapsed="false">
      <c r="B40" s="17" t="s">
        <v>57</v>
      </c>
      <c r="C40" s="18"/>
      <c r="D40" s="18"/>
      <c r="E40" s="18"/>
    </row>
    <row r="41" customFormat="false" ht="30" hidden="false" customHeight="true" outlineLevel="0" collapsed="false">
      <c r="B41" s="19" t="s">
        <v>58</v>
      </c>
      <c r="C41" s="19"/>
      <c r="D41" s="19"/>
      <c r="E41" s="19"/>
    </row>
    <row r="42" customFormat="false" ht="15" hidden="false" customHeight="false" outlineLevel="0" collapsed="false">
      <c r="B42" s="20" t="s">
        <v>59</v>
      </c>
      <c r="C42" s="18"/>
      <c r="D42" s="18"/>
      <c r="E42" s="18"/>
    </row>
  </sheetData>
  <mergeCells count="5">
    <mergeCell ref="D26:E26"/>
    <mergeCell ref="D29:E29"/>
    <mergeCell ref="B34:E34"/>
    <mergeCell ref="B36:E36"/>
    <mergeCell ref="B41:E41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true"/>
  </sheetPr>
  <dimension ref="A1:T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4"/>
    <col collapsed="false" customWidth="true" hidden="false" outlineLevel="0" max="3" min="3" style="0" width="12"/>
    <col collapsed="false" customWidth="true" hidden="false" outlineLevel="0" max="4" min="4" style="0" width="22"/>
    <col collapsed="false" customWidth="true" hidden="false" outlineLevel="0" max="5" min="5" style="0" width="13"/>
    <col collapsed="false" customWidth="true" hidden="false" outlineLevel="0" max="8" min="6" style="0" width="15"/>
    <col collapsed="false" customWidth="true" hidden="false" outlineLevel="0" max="11" min="9" style="0" width="16"/>
    <col collapsed="false" customWidth="true" hidden="false" outlineLevel="0" max="13" min="12" style="0" width="13"/>
    <col collapsed="false" customWidth="true" hidden="false" outlineLevel="0" max="14" min="14" style="0" width="14"/>
    <col collapsed="false" customWidth="true" hidden="false" outlineLevel="0" max="18" min="15" style="0" width="16"/>
    <col collapsed="false" customWidth="true" hidden="false" outlineLevel="0" max="19" min="19" style="0" width="18"/>
    <col collapsed="false" customWidth="true" hidden="false" outlineLevel="0" max="20" min="20" style="0" width="16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686</v>
      </c>
      <c r="B2" s="22"/>
      <c r="C2" s="22"/>
      <c r="D2" s="22"/>
      <c r="E2" s="22"/>
      <c r="F2" s="22"/>
      <c r="G2" s="22"/>
      <c r="H2" s="22"/>
      <c r="I2" s="22"/>
      <c r="J2" s="22"/>
    </row>
    <row r="3" customFormat="false" ht="30" hidden="false" customHeight="true" outlineLevel="0" collapsed="false">
      <c r="A3" s="23" t="s">
        <v>687</v>
      </c>
      <c r="B3" s="23"/>
      <c r="C3" s="23"/>
      <c r="D3" s="23"/>
      <c r="E3" s="23"/>
      <c r="F3" s="23"/>
      <c r="G3" s="23"/>
      <c r="H3" s="23"/>
      <c r="I3" s="23"/>
      <c r="J3" s="23"/>
    </row>
    <row r="6" customFormat="false" ht="19.5" hidden="false" customHeight="true" outlineLevel="0" collapsed="false">
      <c r="A6" s="4" t="s">
        <v>688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customFormat="false" ht="42" hidden="false" customHeight="true" outlineLevel="0" collapsed="false">
      <c r="A7" s="24" t="s">
        <v>64</v>
      </c>
      <c r="B7" s="24" t="s">
        <v>290</v>
      </c>
      <c r="C7" s="24" t="s">
        <v>293</v>
      </c>
      <c r="D7" s="24" t="s">
        <v>294</v>
      </c>
      <c r="E7" s="24" t="s">
        <v>689</v>
      </c>
      <c r="F7" s="24" t="s">
        <v>690</v>
      </c>
      <c r="G7" s="24" t="s">
        <v>691</v>
      </c>
      <c r="H7" s="24" t="s">
        <v>692</v>
      </c>
      <c r="I7" s="24" t="s">
        <v>693</v>
      </c>
      <c r="J7" s="24" t="s">
        <v>694</v>
      </c>
      <c r="K7" s="24" t="s">
        <v>695</v>
      </c>
      <c r="L7" s="24" t="s">
        <v>696</v>
      </c>
      <c r="M7" s="24" t="s">
        <v>697</v>
      </c>
      <c r="N7" s="24" t="s">
        <v>698</v>
      </c>
      <c r="O7" s="24" t="s">
        <v>699</v>
      </c>
      <c r="P7" s="24" t="s">
        <v>700</v>
      </c>
      <c r="Q7" s="24" t="s">
        <v>701</v>
      </c>
      <c r="R7" s="24" t="s">
        <v>702</v>
      </c>
      <c r="S7" s="24" t="s">
        <v>703</v>
      </c>
      <c r="T7" s="24" t="s">
        <v>704</v>
      </c>
    </row>
    <row r="8" customFormat="false" ht="19.5" hidden="false" customHeight="true" outlineLevel="0" collapsed="false">
      <c r="A8" s="48" t="s">
        <v>304</v>
      </c>
      <c r="B8" s="52" t="str">
        <f aca="false">IF(SCENARIUSZE!$B$7="","(nienazwany)",SCENARIUSZE!$B$7)</f>
        <v>(nienazwany)</v>
      </c>
      <c r="C8" s="52" t="n">
        <f aca="false">SCENARIUSZE!$E$7</f>
        <v>0</v>
      </c>
      <c r="D8" s="52" t="n">
        <f aca="false">SCENARIUSZE!$F$7</f>
        <v>0</v>
      </c>
      <c r="E8" s="34" t="n">
        <f aca="false">SCENARIUSZE!$H$7</f>
        <v>0</v>
      </c>
      <c r="F8" s="35" t="n">
        <f aca="false">SCENARIUSZE!$C$128</f>
        <v>0</v>
      </c>
      <c r="G8" s="46" t="n">
        <f aca="false">SCENARIUSZE!$C$129</f>
        <v>0</v>
      </c>
      <c r="H8" s="35" t="n">
        <f aca="false">SCENARIUSZE!$C$130</f>
        <v>0</v>
      </c>
      <c r="I8" s="35" t="n">
        <f aca="false">SCENARIUSZE!$C$139</f>
        <v>0</v>
      </c>
      <c r="J8" s="46" t="n">
        <f aca="false">SCENARIUSZE!$C$140</f>
        <v>0</v>
      </c>
      <c r="K8" s="35" t="n">
        <f aca="false">SCENARIUSZE!$C$141</f>
        <v>0</v>
      </c>
      <c r="L8" s="31"/>
      <c r="M8" s="31"/>
      <c r="N8" s="31"/>
      <c r="O8" s="35" t="n">
        <f aca="false">ROUND(SCENARIUSZE!$C$137*(1-IF($M8="",0,$M8))+SCENARIUSZE!$C$138*(1-IF($N8="",0,$N8)),2)</f>
        <v>0</v>
      </c>
      <c r="P8" s="35" t="n">
        <f aca="false">IFERROR(ROUND(IF($G8=0,0,$I8*($O8/$G8))*(1-IF($L8="",0,$L8)),2),0)</f>
        <v>0</v>
      </c>
      <c r="Q8" s="35" t="n">
        <f aca="false">IFERROR(ROUND(IF($G8=0,0,$J8*($O8/$G8))*(1-IF($L8="",0,$L8)),2),0)</f>
        <v>0</v>
      </c>
      <c r="R8" s="35" t="n">
        <f aca="false">IFERROR(ROUND(IF($G8=0,0,$K8*($O8/$G8))*(1-IF($L8="",0,$L8)),2),0)</f>
        <v>0</v>
      </c>
      <c r="S8" s="46" t="n">
        <f aca="false">ROUND($J8-$Q8,2)</f>
        <v>0</v>
      </c>
      <c r="T8" s="34" t="n">
        <f aca="false">SCENARIUSZE!$C$95</f>
        <v>0</v>
      </c>
    </row>
    <row r="9" customFormat="false" ht="19.5" hidden="false" customHeight="true" outlineLevel="0" collapsed="false">
      <c r="A9" s="48" t="s">
        <v>305</v>
      </c>
      <c r="B9" s="52" t="str">
        <f aca="false">IF(SCENARIUSZE!$B$8="","(nienazwany)",SCENARIUSZE!$B$8)</f>
        <v>(nienazwany)</v>
      </c>
      <c r="C9" s="52" t="n">
        <f aca="false">SCENARIUSZE!$E$8</f>
        <v>0</v>
      </c>
      <c r="D9" s="52" t="n">
        <f aca="false">SCENARIUSZE!$F$8</f>
        <v>0</v>
      </c>
      <c r="E9" s="34" t="n">
        <f aca="false">SCENARIUSZE!$H$8</f>
        <v>0</v>
      </c>
      <c r="F9" s="35" t="n">
        <f aca="false">SCENARIUSZE!$D$128</f>
        <v>0</v>
      </c>
      <c r="G9" s="46" t="n">
        <f aca="false">SCENARIUSZE!$D$129</f>
        <v>0</v>
      </c>
      <c r="H9" s="35" t="n">
        <f aca="false">SCENARIUSZE!$D$130</f>
        <v>0</v>
      </c>
      <c r="I9" s="35" t="n">
        <f aca="false">SCENARIUSZE!$D$139</f>
        <v>0</v>
      </c>
      <c r="J9" s="46" t="n">
        <f aca="false">SCENARIUSZE!$D$140</f>
        <v>0</v>
      </c>
      <c r="K9" s="35" t="n">
        <f aca="false">SCENARIUSZE!$D$141</f>
        <v>0</v>
      </c>
      <c r="L9" s="31"/>
      <c r="M9" s="31"/>
      <c r="N9" s="31"/>
      <c r="O9" s="35" t="n">
        <f aca="false">ROUND(SCENARIUSZE!$D$137*(1-IF($M9="",0,$M9))+SCENARIUSZE!$D$138*(1-IF($N9="",0,$N9)),2)</f>
        <v>0</v>
      </c>
      <c r="P9" s="35" t="n">
        <f aca="false">IFERROR(ROUND(IF($G9=0,0,$I9*($O9/$G9))*(1-IF($L9="",0,$L9)),2),0)</f>
        <v>0</v>
      </c>
      <c r="Q9" s="35" t="n">
        <f aca="false">IFERROR(ROUND(IF($G9=0,0,$J9*($O9/$G9))*(1-IF($L9="",0,$L9)),2),0)</f>
        <v>0</v>
      </c>
      <c r="R9" s="35" t="n">
        <f aca="false">IFERROR(ROUND(IF($G9=0,0,$K9*($O9/$G9))*(1-IF($L9="",0,$L9)),2),0)</f>
        <v>0</v>
      </c>
      <c r="S9" s="46" t="n">
        <f aca="false">ROUND($J9-$Q9,2)</f>
        <v>0</v>
      </c>
      <c r="T9" s="34" t="n">
        <f aca="false">SCENARIUSZE!$D$95</f>
        <v>0</v>
      </c>
    </row>
    <row r="10" customFormat="false" ht="19.5" hidden="false" customHeight="true" outlineLevel="0" collapsed="false">
      <c r="A10" s="48" t="s">
        <v>306</v>
      </c>
      <c r="B10" s="52" t="str">
        <f aca="false">IF(SCENARIUSZE!$B$9="","(nienazwany)",SCENARIUSZE!$B$9)</f>
        <v>(nienazwany)</v>
      </c>
      <c r="C10" s="52" t="n">
        <f aca="false">SCENARIUSZE!$E$9</f>
        <v>0</v>
      </c>
      <c r="D10" s="52" t="n">
        <f aca="false">SCENARIUSZE!$F$9</f>
        <v>0</v>
      </c>
      <c r="E10" s="34" t="n">
        <f aca="false">SCENARIUSZE!$H$9</f>
        <v>0</v>
      </c>
      <c r="F10" s="35" t="n">
        <f aca="false">SCENARIUSZE!$E$128</f>
        <v>0</v>
      </c>
      <c r="G10" s="46" t="n">
        <f aca="false">SCENARIUSZE!$E$129</f>
        <v>0</v>
      </c>
      <c r="H10" s="35" t="n">
        <f aca="false">SCENARIUSZE!$E$130</f>
        <v>0</v>
      </c>
      <c r="I10" s="35" t="n">
        <f aca="false">SCENARIUSZE!$E$139</f>
        <v>0</v>
      </c>
      <c r="J10" s="46" t="n">
        <f aca="false">SCENARIUSZE!$E$140</f>
        <v>0</v>
      </c>
      <c r="K10" s="35" t="n">
        <f aca="false">SCENARIUSZE!$E$141</f>
        <v>0</v>
      </c>
      <c r="L10" s="31"/>
      <c r="M10" s="31"/>
      <c r="N10" s="31"/>
      <c r="O10" s="35" t="n">
        <f aca="false">ROUND(SCENARIUSZE!$E$137*(1-IF($M10="",0,$M10))+SCENARIUSZE!$E$138*(1-IF($N10="",0,$N10)),2)</f>
        <v>0</v>
      </c>
      <c r="P10" s="35" t="n">
        <f aca="false">IFERROR(ROUND(IF($G10=0,0,$I10*($O10/$G10))*(1-IF($L10="",0,$L10)),2),0)</f>
        <v>0</v>
      </c>
      <c r="Q10" s="35" t="n">
        <f aca="false">IFERROR(ROUND(IF($G10=0,0,$J10*($O10/$G10))*(1-IF($L10="",0,$L10)),2),0)</f>
        <v>0</v>
      </c>
      <c r="R10" s="35" t="n">
        <f aca="false">IFERROR(ROUND(IF($G10=0,0,$K10*($O10/$G10))*(1-IF($L10="",0,$L10)),2),0)</f>
        <v>0</v>
      </c>
      <c r="S10" s="46" t="n">
        <f aca="false">ROUND($J10-$Q10,2)</f>
        <v>0</v>
      </c>
      <c r="T10" s="34" t="n">
        <f aca="false">SCENARIUSZE!$E$95</f>
        <v>0</v>
      </c>
    </row>
    <row r="11" customFormat="false" ht="19.5" hidden="false" customHeight="true" outlineLevel="0" collapsed="false">
      <c r="A11" s="48" t="s">
        <v>307</v>
      </c>
      <c r="B11" s="52" t="str">
        <f aca="false">IF(SCENARIUSZE!$B$10="","(nienazwany)",SCENARIUSZE!$B$10)</f>
        <v>(nienazwany)</v>
      </c>
      <c r="C11" s="52" t="n">
        <f aca="false">SCENARIUSZE!$E$10</f>
        <v>0</v>
      </c>
      <c r="D11" s="52" t="n">
        <f aca="false">SCENARIUSZE!$F$10</f>
        <v>0</v>
      </c>
      <c r="E11" s="34" t="n">
        <f aca="false">SCENARIUSZE!$H$10</f>
        <v>0</v>
      </c>
      <c r="F11" s="35" t="n">
        <f aca="false">SCENARIUSZE!$F$128</f>
        <v>0</v>
      </c>
      <c r="G11" s="46" t="n">
        <f aca="false">SCENARIUSZE!$F$129</f>
        <v>0</v>
      </c>
      <c r="H11" s="35" t="n">
        <f aca="false">SCENARIUSZE!$F$130</f>
        <v>0</v>
      </c>
      <c r="I11" s="35" t="n">
        <f aca="false">SCENARIUSZE!$F$139</f>
        <v>0</v>
      </c>
      <c r="J11" s="46" t="n">
        <f aca="false">SCENARIUSZE!$F$140</f>
        <v>0</v>
      </c>
      <c r="K11" s="35" t="n">
        <f aca="false">SCENARIUSZE!$F$141</f>
        <v>0</v>
      </c>
      <c r="L11" s="31"/>
      <c r="M11" s="31"/>
      <c r="N11" s="31"/>
      <c r="O11" s="35" t="n">
        <f aca="false">ROUND(SCENARIUSZE!$F$137*(1-IF($M11="",0,$M11))+SCENARIUSZE!$F$138*(1-IF($N11="",0,$N11)),2)</f>
        <v>0</v>
      </c>
      <c r="P11" s="35" t="n">
        <f aca="false">IFERROR(ROUND(IF($G11=0,0,$I11*($O11/$G11))*(1-IF($L11="",0,$L11)),2),0)</f>
        <v>0</v>
      </c>
      <c r="Q11" s="35" t="n">
        <f aca="false">IFERROR(ROUND(IF($G11=0,0,$J11*($O11/$G11))*(1-IF($L11="",0,$L11)),2),0)</f>
        <v>0</v>
      </c>
      <c r="R11" s="35" t="n">
        <f aca="false">IFERROR(ROUND(IF($G11=0,0,$K11*($O11/$G11))*(1-IF($L11="",0,$L11)),2),0)</f>
        <v>0</v>
      </c>
      <c r="S11" s="46" t="n">
        <f aca="false">ROUND($J11-$Q11,2)</f>
        <v>0</v>
      </c>
      <c r="T11" s="34" t="n">
        <f aca="false">SCENARIUSZE!$F$95</f>
        <v>0</v>
      </c>
    </row>
    <row r="12" customFormat="false" ht="19.5" hidden="false" customHeight="true" outlineLevel="0" collapsed="false">
      <c r="A12" s="48" t="s">
        <v>308</v>
      </c>
      <c r="B12" s="52" t="str">
        <f aca="false">IF(SCENARIUSZE!$B$11="","(nienazwany)",SCENARIUSZE!$B$11)</f>
        <v>(nienazwany)</v>
      </c>
      <c r="C12" s="52" t="n">
        <f aca="false">SCENARIUSZE!$E$11</f>
        <v>0</v>
      </c>
      <c r="D12" s="52" t="n">
        <f aca="false">SCENARIUSZE!$F$11</f>
        <v>0</v>
      </c>
      <c r="E12" s="34" t="n">
        <f aca="false">SCENARIUSZE!$H$11</f>
        <v>0</v>
      </c>
      <c r="F12" s="35" t="n">
        <f aca="false">SCENARIUSZE!$G$128</f>
        <v>0</v>
      </c>
      <c r="G12" s="46" t="n">
        <f aca="false">SCENARIUSZE!$G$129</f>
        <v>0</v>
      </c>
      <c r="H12" s="35" t="n">
        <f aca="false">SCENARIUSZE!$G$130</f>
        <v>0</v>
      </c>
      <c r="I12" s="35" t="n">
        <f aca="false">SCENARIUSZE!$G$139</f>
        <v>0</v>
      </c>
      <c r="J12" s="46" t="n">
        <f aca="false">SCENARIUSZE!$G$140</f>
        <v>0</v>
      </c>
      <c r="K12" s="35" t="n">
        <f aca="false">SCENARIUSZE!$G$141</f>
        <v>0</v>
      </c>
      <c r="L12" s="31"/>
      <c r="M12" s="31"/>
      <c r="N12" s="31"/>
      <c r="O12" s="35" t="n">
        <f aca="false">ROUND(SCENARIUSZE!$G$137*(1-IF($M12="",0,$M12))+SCENARIUSZE!$G$138*(1-IF($N12="",0,$N12)),2)</f>
        <v>0</v>
      </c>
      <c r="P12" s="35" t="n">
        <f aca="false">IFERROR(ROUND(IF($G12=0,0,$I12*($O12/$G12))*(1-IF($L12="",0,$L12)),2),0)</f>
        <v>0</v>
      </c>
      <c r="Q12" s="35" t="n">
        <f aca="false">IFERROR(ROUND(IF($G12=0,0,$J12*($O12/$G12))*(1-IF($L12="",0,$L12)),2),0)</f>
        <v>0</v>
      </c>
      <c r="R12" s="35" t="n">
        <f aca="false">IFERROR(ROUND(IF($G12=0,0,$K12*($O12/$G12))*(1-IF($L12="",0,$L12)),2),0)</f>
        <v>0</v>
      </c>
      <c r="S12" s="46" t="n">
        <f aca="false">ROUND($J12-$Q12,2)</f>
        <v>0</v>
      </c>
      <c r="T12" s="34" t="n">
        <f aca="false">SCENARIUSZE!$G$95</f>
        <v>0</v>
      </c>
    </row>
    <row r="13" customFormat="false" ht="19.5" hidden="false" customHeight="true" outlineLevel="0" collapsed="false">
      <c r="A13" s="48" t="s">
        <v>309</v>
      </c>
      <c r="B13" s="52" t="str">
        <f aca="false">IF(SCENARIUSZE!$B$12="","(nienazwany)",SCENARIUSZE!$B$12)</f>
        <v>(nienazwany)</v>
      </c>
      <c r="C13" s="52" t="n">
        <f aca="false">SCENARIUSZE!$E$12</f>
        <v>0</v>
      </c>
      <c r="D13" s="52" t="n">
        <f aca="false">SCENARIUSZE!$F$12</f>
        <v>0</v>
      </c>
      <c r="E13" s="34" t="n">
        <f aca="false">SCENARIUSZE!$H$12</f>
        <v>0</v>
      </c>
      <c r="F13" s="35" t="n">
        <f aca="false">SCENARIUSZE!$H$128</f>
        <v>0</v>
      </c>
      <c r="G13" s="46" t="n">
        <f aca="false">SCENARIUSZE!$H$129</f>
        <v>0</v>
      </c>
      <c r="H13" s="35" t="n">
        <f aca="false">SCENARIUSZE!$H$130</f>
        <v>0</v>
      </c>
      <c r="I13" s="35" t="n">
        <f aca="false">SCENARIUSZE!$H$139</f>
        <v>0</v>
      </c>
      <c r="J13" s="46" t="n">
        <f aca="false">SCENARIUSZE!$H$140</f>
        <v>0</v>
      </c>
      <c r="K13" s="35" t="n">
        <f aca="false">SCENARIUSZE!$H$141</f>
        <v>0</v>
      </c>
      <c r="L13" s="31"/>
      <c r="M13" s="31"/>
      <c r="N13" s="31"/>
      <c r="O13" s="35" t="n">
        <f aca="false">ROUND(SCENARIUSZE!$H$137*(1-IF($M13="",0,$M13))+SCENARIUSZE!$H$138*(1-IF($N13="",0,$N13)),2)</f>
        <v>0</v>
      </c>
      <c r="P13" s="35" t="n">
        <f aca="false">IFERROR(ROUND(IF($G13=0,0,$I13*($O13/$G13))*(1-IF($L13="",0,$L13)),2),0)</f>
        <v>0</v>
      </c>
      <c r="Q13" s="35" t="n">
        <f aca="false">IFERROR(ROUND(IF($G13=0,0,$J13*($O13/$G13))*(1-IF($L13="",0,$L13)),2),0)</f>
        <v>0</v>
      </c>
      <c r="R13" s="35" t="n">
        <f aca="false">IFERROR(ROUND(IF($G13=0,0,$K13*($O13/$G13))*(1-IF($L13="",0,$L13)),2),0)</f>
        <v>0</v>
      </c>
      <c r="S13" s="46" t="n">
        <f aca="false">ROUND($J13-$Q13,2)</f>
        <v>0</v>
      </c>
      <c r="T13" s="34" t="n">
        <f aca="false">SCENARIUSZE!$H$95</f>
        <v>0</v>
      </c>
    </row>
    <row r="14" customFormat="false" ht="19.5" hidden="false" customHeight="true" outlineLevel="0" collapsed="false">
      <c r="A14" s="48" t="s">
        <v>310</v>
      </c>
      <c r="B14" s="52" t="str">
        <f aca="false">IF(SCENARIUSZE!$B$13="","(nienazwany)",SCENARIUSZE!$B$13)</f>
        <v>(nienazwany)</v>
      </c>
      <c r="C14" s="52" t="n">
        <f aca="false">SCENARIUSZE!$E$13</f>
        <v>0</v>
      </c>
      <c r="D14" s="52" t="n">
        <f aca="false">SCENARIUSZE!$F$13</f>
        <v>0</v>
      </c>
      <c r="E14" s="34" t="n">
        <f aca="false">SCENARIUSZE!$H$13</f>
        <v>0</v>
      </c>
      <c r="F14" s="35" t="n">
        <f aca="false">SCENARIUSZE!$I$128</f>
        <v>0</v>
      </c>
      <c r="G14" s="46" t="n">
        <f aca="false">SCENARIUSZE!$I$129</f>
        <v>0</v>
      </c>
      <c r="H14" s="35" t="n">
        <f aca="false">SCENARIUSZE!$I$130</f>
        <v>0</v>
      </c>
      <c r="I14" s="35" t="n">
        <f aca="false">SCENARIUSZE!$I$139</f>
        <v>0</v>
      </c>
      <c r="J14" s="46" t="n">
        <f aca="false">SCENARIUSZE!$I$140</f>
        <v>0</v>
      </c>
      <c r="K14" s="35" t="n">
        <f aca="false">SCENARIUSZE!$I$141</f>
        <v>0</v>
      </c>
      <c r="L14" s="31"/>
      <c r="M14" s="31"/>
      <c r="N14" s="31"/>
      <c r="O14" s="35" t="n">
        <f aca="false">ROUND(SCENARIUSZE!$I$137*(1-IF($M14="",0,$M14))+SCENARIUSZE!$I$138*(1-IF($N14="",0,$N14)),2)</f>
        <v>0</v>
      </c>
      <c r="P14" s="35" t="n">
        <f aca="false">IFERROR(ROUND(IF($G14=0,0,$I14*($O14/$G14))*(1-IF($L14="",0,$L14)),2),0)</f>
        <v>0</v>
      </c>
      <c r="Q14" s="35" t="n">
        <f aca="false">IFERROR(ROUND(IF($G14=0,0,$J14*($O14/$G14))*(1-IF($L14="",0,$L14)),2),0)</f>
        <v>0</v>
      </c>
      <c r="R14" s="35" t="n">
        <f aca="false">IFERROR(ROUND(IF($G14=0,0,$K14*($O14/$G14))*(1-IF($L14="",0,$L14)),2),0)</f>
        <v>0</v>
      </c>
      <c r="S14" s="46" t="n">
        <f aca="false">ROUND($J14-$Q14,2)</f>
        <v>0</v>
      </c>
      <c r="T14" s="34" t="n">
        <f aca="false">SCENARIUSZE!$I$95</f>
        <v>0</v>
      </c>
    </row>
    <row r="15" customFormat="false" ht="19.5" hidden="false" customHeight="true" outlineLevel="0" collapsed="false">
      <c r="A15" s="48" t="s">
        <v>311</v>
      </c>
      <c r="B15" s="52" t="str">
        <f aca="false">IF(SCENARIUSZE!$B$14="","(nienazwany)",SCENARIUSZE!$B$14)</f>
        <v>(nienazwany)</v>
      </c>
      <c r="C15" s="52" t="n">
        <f aca="false">SCENARIUSZE!$E$14</f>
        <v>0</v>
      </c>
      <c r="D15" s="52" t="n">
        <f aca="false">SCENARIUSZE!$F$14</f>
        <v>0</v>
      </c>
      <c r="E15" s="34" t="n">
        <f aca="false">SCENARIUSZE!$H$14</f>
        <v>0</v>
      </c>
      <c r="F15" s="35" t="n">
        <f aca="false">SCENARIUSZE!$J$128</f>
        <v>0</v>
      </c>
      <c r="G15" s="46" t="n">
        <f aca="false">SCENARIUSZE!$J$129</f>
        <v>0</v>
      </c>
      <c r="H15" s="35" t="n">
        <f aca="false">SCENARIUSZE!$J$130</f>
        <v>0</v>
      </c>
      <c r="I15" s="35" t="n">
        <f aca="false">SCENARIUSZE!$J$139</f>
        <v>0</v>
      </c>
      <c r="J15" s="46" t="n">
        <f aca="false">SCENARIUSZE!$J$140</f>
        <v>0</v>
      </c>
      <c r="K15" s="35" t="n">
        <f aca="false">SCENARIUSZE!$J$141</f>
        <v>0</v>
      </c>
      <c r="L15" s="31"/>
      <c r="M15" s="31"/>
      <c r="N15" s="31"/>
      <c r="O15" s="35" t="n">
        <f aca="false">ROUND(SCENARIUSZE!$J$137*(1-IF($M15="",0,$M15))+SCENARIUSZE!$J$138*(1-IF($N15="",0,$N15)),2)</f>
        <v>0</v>
      </c>
      <c r="P15" s="35" t="n">
        <f aca="false">IFERROR(ROUND(IF($G15=0,0,$I15*($O15/$G15))*(1-IF($L15="",0,$L15)),2),0)</f>
        <v>0</v>
      </c>
      <c r="Q15" s="35" t="n">
        <f aca="false">IFERROR(ROUND(IF($G15=0,0,$J15*($O15/$G15))*(1-IF($L15="",0,$L15)),2),0)</f>
        <v>0</v>
      </c>
      <c r="R15" s="35" t="n">
        <f aca="false">IFERROR(ROUND(IF($G15=0,0,$K15*($O15/$G15))*(1-IF($L15="",0,$L15)),2),0)</f>
        <v>0</v>
      </c>
      <c r="S15" s="46" t="n">
        <f aca="false">ROUND($J15-$Q15,2)</f>
        <v>0</v>
      </c>
      <c r="T15" s="34" t="n">
        <f aca="false">SCENARIUSZE!$J$95</f>
        <v>0</v>
      </c>
    </row>
    <row r="18" customFormat="false" ht="19.5" hidden="false" customHeight="true" outlineLevel="0" collapsed="false">
      <c r="A18" s="4" t="s">
        <v>705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customFormat="false" ht="21.75" hidden="false" customHeight="true" outlineLevel="0" collapsed="false">
      <c r="A19" s="24"/>
      <c r="B19" s="24" t="s">
        <v>109</v>
      </c>
      <c r="C19" s="24" t="s">
        <v>66</v>
      </c>
      <c r="D19" s="24" t="s">
        <v>67</v>
      </c>
      <c r="E19" s="24"/>
      <c r="F19" s="24" t="s">
        <v>706</v>
      </c>
    </row>
    <row r="20" customFormat="false" ht="19.5" hidden="false" customHeight="true" outlineLevel="0" collapsed="false">
      <c r="B20" s="26" t="s">
        <v>707</v>
      </c>
      <c r="C20" s="27" t="s">
        <v>93</v>
      </c>
      <c r="D20" s="33"/>
      <c r="F20" s="9" t="s">
        <v>708</v>
      </c>
    </row>
    <row r="21" customFormat="false" ht="19.5" hidden="false" customHeight="true" outlineLevel="0" collapsed="false">
      <c r="B21" s="26" t="s">
        <v>709</v>
      </c>
      <c r="C21" s="27" t="s">
        <v>106</v>
      </c>
      <c r="D21" s="32"/>
      <c r="F21" s="9" t="s">
        <v>710</v>
      </c>
    </row>
    <row r="22" customFormat="false" ht="19.5" hidden="false" customHeight="true" outlineLevel="0" collapsed="false">
      <c r="B22" s="26" t="s">
        <v>711</v>
      </c>
      <c r="C22" s="27" t="s">
        <v>106</v>
      </c>
      <c r="D22" s="32"/>
      <c r="F22" s="9" t="s">
        <v>712</v>
      </c>
    </row>
    <row r="23" customFormat="false" ht="19.5" hidden="false" customHeight="true" outlineLevel="0" collapsed="false">
      <c r="B23" s="26" t="s">
        <v>713</v>
      </c>
      <c r="C23" s="27" t="s">
        <v>386</v>
      </c>
      <c r="D23" s="35" t="n">
        <f aca="false">ROUND(SUM($I$8:$I$15)-SUM($P$8:$P$15),2)</f>
        <v>0</v>
      </c>
    </row>
    <row r="24" customFormat="false" ht="19.5" hidden="false" customHeight="true" outlineLevel="0" collapsed="false">
      <c r="B24" s="36" t="s">
        <v>714</v>
      </c>
      <c r="C24" s="27" t="s">
        <v>386</v>
      </c>
      <c r="D24" s="46" t="n">
        <f aca="false">ROUND(SUM($J$8:$J$15)-SUM($Q$8:$Q$15),2)</f>
        <v>0</v>
      </c>
    </row>
    <row r="25" customFormat="false" ht="19.5" hidden="false" customHeight="true" outlineLevel="0" collapsed="false">
      <c r="B25" s="26" t="s">
        <v>715</v>
      </c>
      <c r="C25" s="27" t="s">
        <v>386</v>
      </c>
      <c r="D25" s="35" t="n">
        <f aca="false">ROUND(SUM($K$8:$K$15)-SUM($R$8:$R$15),2)</f>
        <v>0</v>
      </c>
    </row>
    <row r="26" customFormat="false" ht="19.5" hidden="false" customHeight="true" outlineLevel="0" collapsed="false">
      <c r="B26" s="36" t="s">
        <v>716</v>
      </c>
      <c r="C26" s="27" t="s">
        <v>106</v>
      </c>
      <c r="D26" s="46" t="n">
        <f aca="false">ROUND($D$24-IF($D$21="",0,$D$21)-IF($D$22="",0,$D$22),2)</f>
        <v>0</v>
      </c>
      <c r="F26" s="9" t="s">
        <v>717</v>
      </c>
    </row>
    <row r="27" customFormat="false" ht="19.5" hidden="false" customHeight="true" outlineLevel="0" collapsed="false">
      <c r="B27" s="36" t="s">
        <v>718</v>
      </c>
      <c r="C27" s="27" t="s">
        <v>85</v>
      </c>
      <c r="D27" s="63" t="str">
        <f aca="false">IF(IF($D$21="",0,$D$21)+IF($D$22="",0,$D$22)=0,"nie dotyczy — brak kosztu działania",ROUND($D$26/(IF($D$21="",0,$D$21)+IF($D$22="",0,$D$22)),4))</f>
        <v>nie dotyczy — brak kosztu działania</v>
      </c>
    </row>
    <row r="28" customFormat="false" ht="19.5" hidden="false" customHeight="true" outlineLevel="0" collapsed="false">
      <c r="B28" s="36" t="s">
        <v>719</v>
      </c>
      <c r="C28" s="27" t="s">
        <v>386</v>
      </c>
      <c r="D28" s="46" t="n">
        <f aca="false">ROUND($D$24-IF($D$22="",0,$D$22),2)</f>
        <v>0</v>
      </c>
      <c r="F28" s="9" t="s">
        <v>720</v>
      </c>
    </row>
    <row r="29" customFormat="false" ht="19.5" hidden="false" customHeight="true" outlineLevel="0" collapsed="false">
      <c r="B29" s="36" t="s">
        <v>721</v>
      </c>
      <c r="C29" s="27" t="s">
        <v>85</v>
      </c>
      <c r="D29" s="63" t="str">
        <f aca="false">IF(IF($D$22="",0,$D$22)=0,"nie dotyczy — brak kosztu utrzymania",ROUND($D$28/IF($D$22="",0,$D$22),4))</f>
        <v>nie dotyczy — brak kosztu utrzymania</v>
      </c>
    </row>
    <row r="30" customFormat="false" ht="19.5" hidden="false" customHeight="true" outlineLevel="0" collapsed="false">
      <c r="B30" s="36" t="s">
        <v>722</v>
      </c>
      <c r="C30" s="27" t="s">
        <v>723</v>
      </c>
      <c r="D30" s="49" t="str">
        <f aca="false">IF($D$28&lt;=0,"nie zwraca się w tym modelu",IF(IF($D$21="",0,$D$21)=0,"natychmiast — brak kosztu jednorazowego",ROUND(IF($D$21="",0,$D$21)/($D$28/12),1)))</f>
        <v>nie zwraca się w tym modelu</v>
      </c>
    </row>
    <row r="31" customFormat="false" ht="30" hidden="false" customHeight="true" outlineLevel="0" collapsed="false">
      <c r="B31" s="26" t="s">
        <v>724</v>
      </c>
      <c r="C31" s="27" t="s">
        <v>93</v>
      </c>
      <c r="D31" s="64" t="str">
        <f aca="false">IF(SUM($J$8:$J$15)=0,"Brak danych — uzupełnij częstotliwość i koszt zdarzenia.",IF($D$26&gt;0,"Działanie zwraca się już w pierwszym roku w wariancie bazowym.",IF($D$28&gt;0,"Nie zwraca się w 1. roku, ale ma dodatni efekt w stanie ustabilizowanym.","W wariancie bazowym działanie się nie zwraca. Sprawdź wariant wysoki i założenia redukcji.")))</f>
        <v>Brak danych — uzupełnij częstotliwość i koszt zdarzenia.</v>
      </c>
    </row>
    <row r="33" customFormat="false" ht="43.5" hidden="false" customHeight="true" outlineLevel="0" collapsed="false">
      <c r="B33" s="44" t="s">
        <v>725</v>
      </c>
      <c r="C33" s="44"/>
      <c r="D33" s="44"/>
      <c r="E33" s="44"/>
      <c r="F33" s="44"/>
    </row>
    <row r="36" customFormat="false" ht="19.5" hidden="false" customHeight="true" outlineLevel="0" collapsed="false">
      <c r="A36" s="4" t="s">
        <v>726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customFormat="false" ht="21.75" hidden="false" customHeight="true" outlineLevel="0" collapsed="false">
      <c r="A37" s="24"/>
      <c r="B37" s="24" t="s">
        <v>727</v>
      </c>
      <c r="C37" s="24" t="s">
        <v>66</v>
      </c>
      <c r="D37" s="24" t="s">
        <v>67</v>
      </c>
      <c r="E37" s="24"/>
      <c r="F37" s="24" t="s">
        <v>706</v>
      </c>
    </row>
    <row r="38" customFormat="false" ht="19.5" hidden="false" customHeight="true" outlineLevel="0" collapsed="false">
      <c r="B38" s="26" t="s">
        <v>728</v>
      </c>
      <c r="C38" s="27" t="s">
        <v>93</v>
      </c>
      <c r="D38" s="33"/>
      <c r="F38" s="9" t="s">
        <v>729</v>
      </c>
    </row>
    <row r="39" customFormat="false" ht="19.5" hidden="false" customHeight="true" outlineLevel="0" collapsed="false">
      <c r="B39" s="26" t="s">
        <v>730</v>
      </c>
      <c r="C39" s="27" t="s">
        <v>93</v>
      </c>
      <c r="D39" s="33"/>
    </row>
    <row r="40" customFormat="false" ht="19.5" hidden="false" customHeight="true" outlineLevel="0" collapsed="false">
      <c r="B40" s="26" t="s">
        <v>731</v>
      </c>
      <c r="C40" s="27" t="s">
        <v>106</v>
      </c>
      <c r="D40" s="32"/>
    </row>
    <row r="41" customFormat="false" ht="19.5" hidden="false" customHeight="true" outlineLevel="0" collapsed="false">
      <c r="B41" s="26" t="s">
        <v>732</v>
      </c>
      <c r="C41" s="27" t="s">
        <v>106</v>
      </c>
      <c r="D41" s="32"/>
    </row>
    <row r="42" customFormat="false" ht="19.5" hidden="false" customHeight="true" outlineLevel="0" collapsed="false">
      <c r="B42" s="26" t="s">
        <v>733</v>
      </c>
      <c r="C42" s="27" t="s">
        <v>75</v>
      </c>
      <c r="D42" s="30"/>
      <c r="F42" s="9" t="s">
        <v>734</v>
      </c>
    </row>
    <row r="43" customFormat="false" ht="33.75" hidden="false" customHeight="true" outlineLevel="0" collapsed="false">
      <c r="B43" s="26" t="s">
        <v>735</v>
      </c>
      <c r="C43" s="27" t="s">
        <v>93</v>
      </c>
      <c r="D43" s="33"/>
      <c r="F43" s="9" t="s">
        <v>736</v>
      </c>
    </row>
    <row r="44" customFormat="false" ht="19.5" hidden="false" customHeight="true" outlineLevel="0" collapsed="false">
      <c r="B44" s="26" t="s">
        <v>737</v>
      </c>
      <c r="C44" s="27" t="s">
        <v>85</v>
      </c>
      <c r="D44" s="31"/>
    </row>
    <row r="45" customFormat="false" ht="19.5" hidden="false" customHeight="true" outlineLevel="0" collapsed="false">
      <c r="B45" s="26" t="s">
        <v>738</v>
      </c>
      <c r="C45" s="27" t="s">
        <v>162</v>
      </c>
      <c r="D45" s="30"/>
    </row>
    <row r="46" customFormat="false" ht="19.5" hidden="false" customHeight="true" outlineLevel="0" collapsed="false">
      <c r="B46" s="26" t="s">
        <v>739</v>
      </c>
      <c r="C46" s="27" t="s">
        <v>106</v>
      </c>
      <c r="D46" s="35" t="n">
        <f aca="false">IFERROR(IF($D$38&lt;&gt;"TAK",0,IF(INDEX($T$8:$T$15,MATCH($D$39,$A$8:$A$15,0))&lt;=0,0,IF($D$43="Trigger działający wstecz",IF(INDEX($T$8:$T$15,MATCH($D$39,$A$8:$A$15,0))&gt;=IF($D$42="",0,$D$42),INDEX($G$8:$G$15,MATCH($D$39,$A$8:$A$15,0)),0),ROUND(INDEX($G$8:$G$15,MATCH($D$39,$A$8:$A$15,0))*MAX(0,(INDEX($T$8:$T$15,MATCH($D$39,$A$8:$A$15,0))-IF($D$42="",0,$D$42))/INDEX($T$8:$T$15,MATCH($D$39,$A$8:$A$15,0))),2)))),0)</f>
        <v>0</v>
      </c>
    </row>
    <row r="47" customFormat="false" ht="19.5" hidden="false" customHeight="true" outlineLevel="0" collapsed="false">
      <c r="B47" s="36" t="s">
        <v>740</v>
      </c>
      <c r="C47" s="27" t="s">
        <v>106</v>
      </c>
      <c r="D47" s="46" t="n">
        <f aca="false">IFERROR(ROUND(MAX(0,MIN(IF($D$40="",0,$D$40),$D$46-IF($D$41="",0,$D$41)))*IF($D$44="",0,$D$44),2),0)</f>
        <v>0</v>
      </c>
      <c r="F47" s="9" t="s">
        <v>741</v>
      </c>
    </row>
    <row r="48" customFormat="false" ht="19.5" hidden="false" customHeight="true" outlineLevel="0" collapsed="false">
      <c r="B48" s="26" t="s">
        <v>742</v>
      </c>
      <c r="C48" s="27" t="s">
        <v>106</v>
      </c>
      <c r="D48" s="35" t="n">
        <f aca="false">IFERROR(ROUND($D$47*IF($D$45="",0,$D$45)/365*IF('PROFIL FIRMY'!$D$25="",0,'PROFIL FIRMY'!$D$25),2),0)</f>
        <v>0</v>
      </c>
      <c r="F48" s="9" t="s">
        <v>743</v>
      </c>
    </row>
    <row r="50" customFormat="false" ht="52.5" hidden="false" customHeight="true" outlineLevel="0" collapsed="false">
      <c r="B50" s="12" t="s">
        <v>56</v>
      </c>
      <c r="C50" s="12"/>
      <c r="D50" s="12"/>
      <c r="E50" s="12"/>
      <c r="F50" s="12"/>
    </row>
  </sheetData>
  <mergeCells count="4">
    <mergeCell ref="A2:J2"/>
    <mergeCell ref="A3:J3"/>
    <mergeCell ref="B33:F33"/>
    <mergeCell ref="B50:F50"/>
  </mergeCells>
  <dataValidations count="7">
    <dataValidation allowBlank="true" error="Redukcja od 0% do 100%." errorStyle="stop" errorTitle="Procent poza zakresem" operator="between" showDropDown="false" showErrorMessage="false" showInputMessage="false" sqref="L8:N15" type="decimal">
      <formula1>0</formula1>
      <formula2>1</formula2>
    </dataValidation>
    <dataValidation allowBlank="true" error="Podaj liczbę nie mniejszą niż 0." errorStyle="stop" errorTitle="Wartość nieprawidłowa" operator="greaterThanOrEqual" showDropDown="false" showErrorMessage="false" showInputMessage="false" sqref="D21:D22" type="decimal">
      <formula1>0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D38" type="list">
      <formula1>'LISTY POMOCNICZE'!$I$8:$I$9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D39" type="list">
      <formula1>'LISTY POMOCNICZE'!$L$8:$L$15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D43" type="list">
      <formula1>'LISTY POMOCNICZE'!$U$8:$U$9</formula1>
      <formula2>0</formula2>
    </dataValidation>
    <dataValidation allowBlank="true" error="Podaj liczbę nie mniejszą niż 0." errorStyle="stop" errorTitle="Wartość nieprawidłowa" operator="greaterThanOrEqual" showDropDown="false" showErrorMessage="false" showInputMessage="false" sqref="D40:D42 D45" type="decimal">
      <formula1>0</formula1>
      <formula2>0</formula2>
    </dataValidation>
    <dataValidation allowBlank="true" error="Podaj wartość od 0% do 100%." errorStyle="stop" errorTitle="Procent poza zakresem" operator="between" showDropDown="false" showErrorMessage="false" showInputMessage="false" sqref="D44" type="decimal">
      <formula1>0</formula1>
      <formula2>1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true"/>
  </sheetPr>
  <dimension ref="A1:L10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6"/>
    <col collapsed="false" customWidth="true" hidden="false" outlineLevel="0" max="5" min="3" style="0" width="17"/>
    <col collapsed="false" customWidth="true" hidden="false" outlineLevel="0" max="6" min="6" style="0" width="2"/>
    <col collapsed="false" customWidth="true" hidden="false" outlineLevel="0" max="15" min="7" style="0" width="12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744</v>
      </c>
      <c r="B2" s="22"/>
      <c r="C2" s="22"/>
      <c r="D2" s="22"/>
      <c r="E2" s="22"/>
    </row>
    <row r="3" customFormat="false" ht="30" hidden="false" customHeight="true" outlineLevel="0" collapsed="false">
      <c r="A3" s="23" t="s">
        <v>745</v>
      </c>
      <c r="B3" s="23"/>
      <c r="C3" s="23"/>
      <c r="D3" s="23"/>
      <c r="E3" s="23"/>
    </row>
    <row r="5" customFormat="false" ht="15" hidden="false" customHeight="false" outlineLevel="0" collapsed="false">
      <c r="B5" s="65" t="s">
        <v>746</v>
      </c>
      <c r="C5" s="33" t="s">
        <v>304</v>
      </c>
    </row>
    <row r="6" customFormat="false" ht="15" hidden="false" customHeight="false" outlineLevel="0" collapsed="false">
      <c r="B6" s="66" t="s">
        <v>747</v>
      </c>
      <c r="C6" s="67" t="str">
        <f aca="false">IFERROR(IF(INDEX(SCENARIUSZE!$B$7:$B$14,$C$7)="","(nienazwany)",INDEX(SCENARIUSZE!$B$7:$B$14,$C$7)),"")</f>
        <v>(nienazwany)</v>
      </c>
      <c r="D6" s="66" t="str">
        <f aca="false">IFERROR(IF(INDEX(SCENARIUSZE!$C$7:$C$14,$C$7)="","(nie wybrano typu)",INDEX(SCENARIUSZE!$C$7:$C$14,$C$7)),"")</f>
        <v>(nie wybrano typu)</v>
      </c>
    </row>
    <row r="7" customFormat="false" ht="15" hidden="false" customHeight="false" outlineLevel="0" collapsed="false">
      <c r="B7" s="3" t="s">
        <v>748</v>
      </c>
      <c r="C7" s="68" t="n">
        <f aca="false">IFERROR(MATCH($C$5,SCENARIUSZE!$A$7:$A$14,0),1)</f>
        <v>1</v>
      </c>
    </row>
    <row r="9" customFormat="false" ht="19.5" hidden="false" customHeight="true" outlineLevel="0" collapsed="false">
      <c r="A9" s="4" t="s">
        <v>749</v>
      </c>
      <c r="B9" s="5"/>
      <c r="C9" s="5"/>
      <c r="D9" s="5"/>
      <c r="E9" s="5"/>
    </row>
    <row r="10" customFormat="false" ht="21.75" hidden="false" customHeight="true" outlineLevel="0" collapsed="false">
      <c r="A10" s="24"/>
      <c r="B10" s="24" t="s">
        <v>398</v>
      </c>
      <c r="C10" s="24" t="s">
        <v>110</v>
      </c>
      <c r="D10" s="24" t="s">
        <v>111</v>
      </c>
      <c r="E10" s="24" t="s">
        <v>112</v>
      </c>
    </row>
    <row r="11" customFormat="false" ht="27.75" hidden="false" customHeight="true" outlineLevel="0" collapsed="false">
      <c r="B11" s="36" t="s">
        <v>120</v>
      </c>
      <c r="C11" s="69" t="n">
        <f aca="false">IFERROR(INDEX(SCENARIUSZE!$C$128:$J$128,$C$7),0)</f>
        <v>0</v>
      </c>
      <c r="D11" s="69" t="n">
        <f aca="false">IFERROR(INDEX(SCENARIUSZE!$C$129:$J$129,$C$7),0)</f>
        <v>0</v>
      </c>
      <c r="E11" s="69" t="n">
        <f aca="false">IFERROR(INDEX(SCENARIUSZE!$C$130:$J$130,$C$7),0)</f>
        <v>0</v>
      </c>
    </row>
    <row r="12" customFormat="false" ht="21.75" hidden="false" customHeight="true" outlineLevel="0" collapsed="false">
      <c r="B12" s="26" t="s">
        <v>750</v>
      </c>
      <c r="C12" s="35" t="n">
        <f aca="false">IFERROR(INDEX(SCENARIUSZE!$C$134:$J$134,$C$7),0)</f>
        <v>0</v>
      </c>
      <c r="D12" s="35" t="n">
        <f aca="false">IFERROR(INDEX(SCENARIUSZE!$C$135:$J$135,$C$7),0)</f>
        <v>0</v>
      </c>
      <c r="E12" s="35" t="n">
        <f aca="false">IFERROR(INDEX(SCENARIUSZE!$C$136:$J$136,$C$7),0)</f>
        <v>0</v>
      </c>
    </row>
    <row r="13" customFormat="false" ht="21.75" hidden="false" customHeight="true" outlineLevel="0" collapsed="false">
      <c r="B13" s="26" t="s">
        <v>751</v>
      </c>
      <c r="C13" s="35" t="n">
        <f aca="false">IFERROR(INDEX(SCENARIUSZE!$C$131:$J$131,$C$7),0)</f>
        <v>0</v>
      </c>
      <c r="D13" s="35" t="n">
        <f aca="false">IFERROR(INDEX(SCENARIUSZE!$C$132:$J$132,$C$7),0)</f>
        <v>0</v>
      </c>
      <c r="E13" s="35" t="n">
        <f aca="false">IFERROR(INDEX(SCENARIUSZE!$C$133:$J$133,$C$7),0)</f>
        <v>0</v>
      </c>
    </row>
    <row r="14" customFormat="false" ht="21.75" hidden="false" customHeight="true" outlineLevel="0" collapsed="false">
      <c r="B14" s="26" t="s">
        <v>752</v>
      </c>
      <c r="C14" s="35" t="n">
        <f aca="false">IFERROR(INDEX(SCENARIUSZE!$C$122:$J$122,$C$7),0)</f>
        <v>0</v>
      </c>
      <c r="D14" s="35" t="n">
        <f aca="false">IFERROR(INDEX(SCENARIUSZE!$C$123:$J$123,$C$7),0)</f>
        <v>0</v>
      </c>
      <c r="E14" s="35" t="n">
        <f aca="false">IFERROR(INDEX(SCENARIUSZE!$C$124:$J$124,$C$7),0)</f>
        <v>0</v>
      </c>
    </row>
    <row r="15" customFormat="false" ht="21.75" hidden="false" customHeight="true" outlineLevel="0" collapsed="false">
      <c r="B15" s="26" t="s">
        <v>753</v>
      </c>
      <c r="C15" s="35" t="n">
        <f aca="false">IFERROR(INDEX(SCENARIUSZE!$C$125:$J$125,$C$7),0)</f>
        <v>0</v>
      </c>
      <c r="D15" s="35" t="n">
        <f aca="false">IFERROR(INDEX(SCENARIUSZE!$C$126:$J$126,$C$7),0)</f>
        <v>0</v>
      </c>
      <c r="E15" s="35" t="n">
        <f aca="false">IFERROR(INDEX(SCENARIUSZE!$C$127:$J$127,$C$7),0)</f>
        <v>0</v>
      </c>
    </row>
    <row r="17" customFormat="false" ht="19.5" hidden="false" customHeight="true" outlineLevel="0" collapsed="false">
      <c r="A17" s="4" t="s">
        <v>754</v>
      </c>
      <c r="B17" s="5"/>
      <c r="C17" s="5"/>
      <c r="D17" s="5"/>
      <c r="E17" s="5"/>
    </row>
    <row r="18" customFormat="false" ht="19.5" hidden="false" customHeight="true" outlineLevel="0" collapsed="false">
      <c r="A18" s="24"/>
      <c r="B18" s="24" t="s">
        <v>109</v>
      </c>
      <c r="C18" s="24" t="s">
        <v>67</v>
      </c>
      <c r="D18" s="24"/>
      <c r="E18" s="24"/>
    </row>
    <row r="19" customFormat="false" ht="19.5" hidden="false" customHeight="true" outlineLevel="0" collapsed="false">
      <c r="B19" s="26" t="s">
        <v>755</v>
      </c>
      <c r="C19" s="34" t="n">
        <f aca="false">IFERROR(INDEX(SCENARIUSZE!$C$93:$J$93,$C$7),0)</f>
        <v>0</v>
      </c>
    </row>
    <row r="20" customFormat="false" ht="19.5" hidden="false" customHeight="true" outlineLevel="0" collapsed="false">
      <c r="B20" s="26" t="s">
        <v>756</v>
      </c>
      <c r="C20" s="34" t="n">
        <f aca="false">IFERROR(INDEX(SCENARIUSZE!$C$95:$J$95,$C$7),0)</f>
        <v>0</v>
      </c>
    </row>
    <row r="21" customFormat="false" ht="19.5" hidden="false" customHeight="true" outlineLevel="0" collapsed="false">
      <c r="B21" s="26" t="s">
        <v>757</v>
      </c>
      <c r="C21" s="34" t="str">
        <f aca="false">IF(COUNT($H$90:$H$101)=0,"brak danych",MIN($H$90:$H$101))</f>
        <v>brak danych</v>
      </c>
    </row>
    <row r="22" customFormat="false" ht="19.5" hidden="false" customHeight="true" outlineLevel="0" collapsed="false">
      <c r="B22" s="26" t="s">
        <v>758</v>
      </c>
      <c r="C22" s="34" t="str">
        <f aca="false">IF(COUNT($I$90:$I$101)=0,"brak danych",MIN($I$90:$I$101))</f>
        <v>brak danych</v>
      </c>
    </row>
    <row r="23" customFormat="false" ht="19.5" hidden="false" customHeight="true" outlineLevel="0" collapsed="false">
      <c r="B23" s="26" t="s">
        <v>759</v>
      </c>
      <c r="C23" s="34" t="str">
        <f aca="false">IF(OR(COUNT($H$90:$H$101)=0,COUNT($I$90:$I$101)=0),"brak danych",ROUND(MIN($I$90:$I$101)-MIN($H$90:$H$101),2))</f>
        <v>brak danych</v>
      </c>
    </row>
    <row r="24" customFormat="false" ht="19.5" hidden="false" customHeight="true" outlineLevel="0" collapsed="false">
      <c r="B24" s="26" t="s">
        <v>760</v>
      </c>
      <c r="C24" s="64" t="str">
        <f aca="false">IF(COUNT($I$90:$I$101)=0,"brak danych",IF(IFERROR(INDEX(SCENARIUSZE!$C$95:$J$95,$C$7),0)&gt;MIN($I$90:$I$101),"TAK — skutki w tym scenariuszu przekraczają akceptowalny próg","NIE — zdarzenie mieści się w akceptowalnym progu"))</f>
        <v>brak danych</v>
      </c>
      <c r="D24" s="64"/>
      <c r="E24" s="64"/>
    </row>
    <row r="25" customFormat="false" ht="19.5" hidden="false" customHeight="true" outlineLevel="0" collapsed="false">
      <c r="B25" s="36" t="s">
        <v>761</v>
      </c>
      <c r="C25" s="46" t="n">
        <f aca="false">IFERROR(INDEX(SCENARIUSZE!$C$140:$J$140,$C$7),0)</f>
        <v>0</v>
      </c>
    </row>
    <row r="27" customFormat="false" ht="19.5" hidden="false" customHeight="true" outlineLevel="0" collapsed="false">
      <c r="A27" s="4" t="s">
        <v>762</v>
      </c>
      <c r="B27" s="5"/>
      <c r="C27" s="5"/>
      <c r="D27" s="5"/>
      <c r="E27" s="5"/>
    </row>
    <row r="28" customFormat="false" ht="19.5" hidden="false" customHeight="true" outlineLevel="0" collapsed="false">
      <c r="A28" s="24"/>
      <c r="B28" s="24" t="s">
        <v>763</v>
      </c>
      <c r="C28" s="24" t="s">
        <v>764</v>
      </c>
      <c r="D28" s="24" t="s">
        <v>765</v>
      </c>
      <c r="E28" s="24"/>
    </row>
    <row r="29" customFormat="false" ht="19.5" hidden="false" customHeight="true" outlineLevel="0" collapsed="false">
      <c r="B29" s="42" t="str">
        <f aca="false">IFERROR(INDEX($G$70:$G$83,MATCH(LARGE($K$70:$K$83,1),$K$70:$K$83,0)),"—")</f>
        <v>Klient / prawo / cyber → gotówka</v>
      </c>
      <c r="C29" s="35" t="n">
        <f aca="false">IFERROR(INDEX($H$70:$H$83,MATCH(LARGE($K$70:$K$83,1),$K$70:$K$83,0)),0)</f>
        <v>0</v>
      </c>
      <c r="D29" s="70" t="str">
        <f aca="false">IF(IFERROR(INDEX(SCENARIUSZE!$C$129:$J$129,$C$7),0)=0,"n/d",ROUND($C29/INDEX(SCENARIUSZE!$C$129:$J$129,$C$7),4))</f>
        <v>n/d</v>
      </c>
    </row>
    <row r="30" customFormat="false" ht="19.5" hidden="false" customHeight="true" outlineLevel="0" collapsed="false">
      <c r="B30" s="42" t="str">
        <f aca="false">IFERROR(INDEX($G$70:$G$83,MATCH(LARGE($K$70:$K$83,2),$K$70:$K$83,0)),"—")</f>
        <v>Dane i odtwarzanie (karta) → gotówka</v>
      </c>
      <c r="C30" s="35" t="n">
        <f aca="false">IFERROR(INDEX($H$70:$H$83,MATCH(LARGE($K$70:$K$83,2),$K$70:$K$83,0)),0)</f>
        <v>0</v>
      </c>
      <c r="D30" s="70" t="str">
        <f aca="false">IF(IFERROR(INDEX(SCENARIUSZE!$C$129:$J$129,$C$7),0)=0,"n/d",ROUND($C30/INDEX(SCENARIUSZE!$C$129:$J$129,$C$7),4))</f>
        <v>n/d</v>
      </c>
    </row>
    <row r="31" customFormat="false" ht="19.5" hidden="false" customHeight="true" outlineLevel="0" collapsed="false">
      <c r="B31" s="42" t="str">
        <f aca="false">IFERROR(INDEX($G$70:$G$83,MATCH(LARGE($K$70:$K$83,3),$K$70:$K$83,0)),"—")</f>
        <v>K11 Inne koszty</v>
      </c>
      <c r="C31" s="35" t="n">
        <f aca="false">IFERROR(INDEX($H$70:$H$83,MATCH(LARGE($K$70:$K$83,3),$K$70:$K$83,0)),0)</f>
        <v>0</v>
      </c>
      <c r="D31" s="70" t="str">
        <f aca="false">IF(IFERROR(INDEX(SCENARIUSZE!$C$129:$J$129,$C$7),0)=0,"n/d",ROUND($C31/INDEX(SCENARIUSZE!$C$129:$J$129,$C$7),4))</f>
        <v>n/d</v>
      </c>
    </row>
    <row r="32" customFormat="false" ht="19.5" hidden="false" customHeight="true" outlineLevel="0" collapsed="false">
      <c r="B32" s="42" t="str">
        <f aca="false">IFERROR(INDEX($G$70:$G$83,MATCH(LARGE($K$70:$K$83,4),$K$70:$K$83,0)),"—")</f>
        <v>K10 Cyber, naruszenie danych, fraud</v>
      </c>
      <c r="C32" s="35" t="n">
        <f aca="false">IFERROR(INDEX($H$70:$H$83,MATCH(LARGE($K$70:$K$83,4),$K$70:$K$83,0)),0)</f>
        <v>0</v>
      </c>
      <c r="D32" s="70" t="str">
        <f aca="false">IF(IFERROR(INDEX(SCENARIUSZE!$C$129:$J$129,$C$7),0)=0,"n/d",ROUND($C32/INDEX(SCENARIUSZE!$C$129:$J$129,$C$7),4))</f>
        <v>n/d</v>
      </c>
    </row>
    <row r="33" customFormat="false" ht="19.5" hidden="false" customHeight="true" outlineLevel="0" collapsed="false">
      <c r="B33" s="42" t="str">
        <f aca="false">IFERROR(INDEX($G$70:$G$83,MATCH(LARGE($K$70:$K$83,5),$K$70:$K$83,0)),"—")</f>
        <v>K9 Klienci, kontrakty, komunikacja</v>
      </c>
      <c r="C33" s="35" t="n">
        <f aca="false">IFERROR(INDEX($H$70:$H$83,MATCH(LARGE($K$70:$K$83,5),$K$70:$K$83,0)),0)</f>
        <v>0</v>
      </c>
      <c r="D33" s="70" t="str">
        <f aca="false">IF(IFERROR(INDEX(SCENARIUSZE!$C$129:$J$129,$C$7),0)=0,"n/d",ROUND($C33/INDEX(SCENARIUSZE!$C$129:$J$129,$C$7),4))</f>
        <v>n/d</v>
      </c>
    </row>
    <row r="35" customFormat="false" ht="19.5" hidden="false" customHeight="true" outlineLevel="0" collapsed="false">
      <c r="A35" s="4" t="s">
        <v>766</v>
      </c>
      <c r="B35" s="5"/>
      <c r="C35" s="5"/>
      <c r="D35" s="5"/>
      <c r="E35" s="5"/>
    </row>
    <row r="36" customFormat="false" ht="19.5" hidden="false" customHeight="true" outlineLevel="0" collapsed="false">
      <c r="A36" s="24"/>
      <c r="B36" s="24" t="s">
        <v>114</v>
      </c>
      <c r="C36" s="24" t="s">
        <v>767</v>
      </c>
      <c r="D36" s="24"/>
      <c r="E36" s="24"/>
    </row>
    <row r="37" customFormat="false" ht="18" hidden="false" customHeight="true" outlineLevel="0" collapsed="false">
      <c r="B37" s="30" t="n">
        <v>1</v>
      </c>
      <c r="C37" s="35" t="n">
        <f aca="false">IF($B37="","",IFERROR(ROUND($B37*INDEX(SCENARIUSZE!$C$97:$J$97,$C$7)+INDEX(SCENARIUSZE!$C$138:$J$138,$C$7),2),0))</f>
        <v>0</v>
      </c>
    </row>
    <row r="38" customFormat="false" ht="18" hidden="false" customHeight="true" outlineLevel="0" collapsed="false">
      <c r="B38" s="30" t="n">
        <v>4</v>
      </c>
      <c r="C38" s="35" t="n">
        <f aca="false">IF($B38="","",IFERROR(ROUND($B38*INDEX(SCENARIUSZE!$C$97:$J$97,$C$7)+INDEX(SCENARIUSZE!$C$138:$J$138,$C$7),2),0))</f>
        <v>0</v>
      </c>
    </row>
    <row r="39" customFormat="false" ht="18" hidden="false" customHeight="true" outlineLevel="0" collapsed="false">
      <c r="B39" s="30" t="n">
        <v>8</v>
      </c>
      <c r="C39" s="35" t="n">
        <f aca="false">IF($B39="","",IFERROR(ROUND($B39*INDEX(SCENARIUSZE!$C$97:$J$97,$C$7)+INDEX(SCENARIUSZE!$C$138:$J$138,$C$7),2),0))</f>
        <v>0</v>
      </c>
    </row>
    <row r="40" customFormat="false" ht="18" hidden="false" customHeight="true" outlineLevel="0" collapsed="false">
      <c r="B40" s="30" t="n">
        <v>24</v>
      </c>
      <c r="C40" s="35" t="n">
        <f aca="false">IF($B40="","",IFERROR(ROUND($B40*INDEX(SCENARIUSZE!$C$97:$J$97,$C$7)+INDEX(SCENARIUSZE!$C$138:$J$138,$C$7),2),0))</f>
        <v>0</v>
      </c>
    </row>
    <row r="41" customFormat="false" ht="18" hidden="false" customHeight="true" outlineLevel="0" collapsed="false">
      <c r="B41" s="30" t="n">
        <v>48</v>
      </c>
      <c r="C41" s="35" t="n">
        <f aca="false">IF($B41="","",IFERROR(ROUND($B41*INDEX(SCENARIUSZE!$C$97:$J$97,$C$7)+INDEX(SCENARIUSZE!$C$138:$J$138,$C$7),2),0))</f>
        <v>0</v>
      </c>
    </row>
    <row r="42" customFormat="false" ht="18" hidden="false" customHeight="true" outlineLevel="0" collapsed="false">
      <c r="B42" s="30"/>
      <c r="C42" s="35" t="str">
        <f aca="false">IF($B42="","",IFERROR(ROUND($B42*INDEX(SCENARIUSZE!$C$97:$J$97,$C$7)+INDEX(SCENARIUSZE!$C$138:$J$138,$C$7),2),0))</f>
        <v/>
      </c>
    </row>
    <row r="43" customFormat="false" ht="18" hidden="false" customHeight="true" outlineLevel="0" collapsed="false">
      <c r="B43" s="30"/>
      <c r="C43" s="35" t="str">
        <f aca="false">IF($B43="","",IFERROR(ROUND($B43*INDEX(SCENARIUSZE!$C$97:$J$97,$C$7)+INDEX(SCENARIUSZE!$C$138:$J$138,$C$7),2),0))</f>
        <v/>
      </c>
    </row>
    <row r="44" customFormat="false" ht="27.75" hidden="false" customHeight="true" outlineLevel="0" collapsed="false">
      <c r="B44" s="12" t="s">
        <v>768</v>
      </c>
      <c r="C44" s="12"/>
      <c r="D44" s="12"/>
      <c r="E44" s="12"/>
    </row>
    <row r="46" customFormat="false" ht="19.5" hidden="false" customHeight="true" outlineLevel="0" collapsed="false">
      <c r="A46" s="4" t="s">
        <v>769</v>
      </c>
      <c r="B46" s="5"/>
      <c r="C46" s="5"/>
      <c r="D46" s="5"/>
      <c r="E46" s="5"/>
    </row>
    <row r="47" customFormat="false" ht="19.5" hidden="false" customHeight="true" outlineLevel="0" collapsed="false">
      <c r="A47" s="24"/>
      <c r="B47" s="24" t="s">
        <v>763</v>
      </c>
      <c r="C47" s="24" t="s">
        <v>770</v>
      </c>
      <c r="D47" s="24"/>
      <c r="E47" s="24"/>
    </row>
    <row r="48" customFormat="false" ht="19.5" hidden="false" customHeight="true" outlineLevel="0" collapsed="false">
      <c r="B48" s="42" t="str">
        <f aca="false">IFERROR(INDEX($G$70:$G$83,MATCH(LARGE($L$70:$L$83,1),$L$70:$L$83,0)),"—")</f>
        <v>Klient / prawo / cyber → gotówka</v>
      </c>
      <c r="C48" s="35" t="n">
        <f aca="false">IFERROR(INDEX($J$70:$J$83,MATCH(LARGE($L$70:$L$83,1),$L$70:$L$83,0))-INDEX($I$70:$I$83,MATCH(LARGE($L$70:$L$83,1),$L$70:$L$83,0)),0)</f>
        <v>0</v>
      </c>
    </row>
    <row r="49" customFormat="false" ht="19.5" hidden="false" customHeight="true" outlineLevel="0" collapsed="false">
      <c r="B49" s="42" t="str">
        <f aca="false">IFERROR(INDEX($G$70:$G$83,MATCH(LARGE($L$70:$L$83,2),$L$70:$L$83,0)),"—")</f>
        <v>Dane i odtwarzanie (karta) → gotówka</v>
      </c>
      <c r="C49" s="35" t="n">
        <f aca="false">IFERROR(INDEX($J$70:$J$83,MATCH(LARGE($L$70:$L$83,2),$L$70:$L$83,0))-INDEX($I$70:$I$83,MATCH(LARGE($L$70:$L$83,2),$L$70:$L$83,0)),0)</f>
        <v>0</v>
      </c>
    </row>
    <row r="50" customFormat="false" ht="19.5" hidden="false" customHeight="true" outlineLevel="0" collapsed="false">
      <c r="B50" s="42" t="str">
        <f aca="false">IFERROR(INDEX($G$70:$G$83,MATCH(LARGE($L$70:$L$83,3),$L$70:$L$83,0)),"—")</f>
        <v>K11 Inne koszty</v>
      </c>
      <c r="C50" s="35" t="n">
        <f aca="false">IFERROR(INDEX($J$70:$J$83,MATCH(LARGE($L$70:$L$83,3),$L$70:$L$83,0))-INDEX($I$70:$I$83,MATCH(LARGE($L$70:$L$83,3),$L$70:$L$83,0)),0)</f>
        <v>0</v>
      </c>
    </row>
    <row r="51" customFormat="false" ht="19.5" hidden="false" customHeight="true" outlineLevel="0" collapsed="false">
      <c r="B51" s="42" t="str">
        <f aca="false">IFERROR(INDEX($G$70:$G$83,MATCH(LARGE($L$70:$L$83,4),$L$70:$L$83,0)),"—")</f>
        <v>K10 Cyber, naruszenie danych, fraud</v>
      </c>
      <c r="C51" s="35" t="n">
        <f aca="false">IFERROR(INDEX($J$70:$J$83,MATCH(LARGE($L$70:$L$83,4),$L$70:$L$83,0))-INDEX($I$70:$I$83,MATCH(LARGE($L$70:$L$83,4),$L$70:$L$83,0)),0)</f>
        <v>0</v>
      </c>
    </row>
    <row r="52" customFormat="false" ht="19.5" hidden="false" customHeight="true" outlineLevel="0" collapsed="false">
      <c r="B52" s="42" t="str">
        <f aca="false">IFERROR(INDEX($G$70:$G$83,MATCH(LARGE($L$70:$L$83,5),$L$70:$L$83,0)),"—")</f>
        <v>K9 Klienci, kontrakty, komunikacja</v>
      </c>
      <c r="C52" s="35" t="n">
        <f aca="false">IFERROR(INDEX($J$70:$J$83,MATCH(LARGE($L$70:$L$83,5),$L$70:$L$83,0))-INDEX($I$70:$I$83,MATCH(LARGE($L$70:$L$83,5),$L$70:$L$83,0)),0)</f>
        <v>0</v>
      </c>
    </row>
    <row r="53" customFormat="false" ht="27.75" hidden="false" customHeight="true" outlineLevel="0" collapsed="false">
      <c r="B53" s="12" t="s">
        <v>771</v>
      </c>
      <c r="C53" s="12"/>
      <c r="D53" s="12"/>
      <c r="E53" s="12"/>
    </row>
    <row r="55" customFormat="false" ht="19.5" hidden="false" customHeight="true" outlineLevel="0" collapsed="false">
      <c r="A55" s="4" t="s">
        <v>772</v>
      </c>
      <c r="B55" s="5"/>
      <c r="C55" s="5"/>
      <c r="D55" s="5"/>
      <c r="E55" s="5"/>
    </row>
    <row r="56" customFormat="false" ht="18" hidden="false" customHeight="true" outlineLevel="0" collapsed="false">
      <c r="B56" s="26" t="s">
        <v>773</v>
      </c>
      <c r="C56" s="53" t="n">
        <f aca="false">QA!$D$9</f>
        <v>0</v>
      </c>
    </row>
    <row r="57" customFormat="false" ht="18" hidden="false" customHeight="true" outlineLevel="0" collapsed="false">
      <c r="B57" s="26" t="s">
        <v>774</v>
      </c>
      <c r="C57" s="68" t="n">
        <f aca="false">QA!$D$16</f>
        <v>0</v>
      </c>
    </row>
    <row r="58" customFormat="false" ht="18" hidden="false" customHeight="true" outlineLevel="0" collapsed="false">
      <c r="B58" s="26" t="s">
        <v>775</v>
      </c>
      <c r="C58" s="68" t="n">
        <f aca="false">QA!$D$20</f>
        <v>0</v>
      </c>
    </row>
    <row r="59" customFormat="false" ht="18" hidden="false" customHeight="true" outlineLevel="0" collapsed="false">
      <c r="B59" s="26" t="s">
        <v>776</v>
      </c>
      <c r="C59" s="53" t="n">
        <f aca="false">QA!$D$25</f>
        <v>0</v>
      </c>
    </row>
    <row r="60" customFormat="false" ht="18" hidden="false" customHeight="true" outlineLevel="0" collapsed="false">
      <c r="B60" s="26" t="s">
        <v>777</v>
      </c>
      <c r="C60" s="68" t="n">
        <f aca="false">QA!$D$27</f>
        <v>0</v>
      </c>
    </row>
    <row r="61" customFormat="false" ht="18" hidden="false" customHeight="true" outlineLevel="0" collapsed="false">
      <c r="B61" s="26" t="s">
        <v>778</v>
      </c>
      <c r="C61" s="71" t="str">
        <f aca="false">QA!$D$28</f>
        <v>Niska</v>
      </c>
    </row>
    <row r="63" customFormat="false" ht="19.5" hidden="false" customHeight="true" outlineLevel="0" collapsed="false">
      <c r="A63" s="4" t="s">
        <v>779</v>
      </c>
      <c r="B63" s="5"/>
      <c r="C63" s="5"/>
      <c r="D63" s="5"/>
      <c r="E63" s="5"/>
    </row>
    <row r="64" customFormat="false" ht="39.75" hidden="false" customHeight="true" outlineLevel="0" collapsed="false">
      <c r="B64" s="72" t="str">
        <f aca="false">IF(IFERROR(INDEX(SCENARIUSZE!$C$129:$J$129,$C$7),0)=0,"Model nie ma jeszcze danych dla tego scenariusza. Uzupełnij fazy zdarzenia, macierz objęcia i przynajmniej jeden proces z metodą wyceny.","Wynik bazowy dotyczy jednego zdarzenia w wybranym scenariuszu. Największy udział ma składnik pokazany na pierwszym miejscu listy TOP 5. Przedział niski–wysoki wynika wyłącznie z zakresów podanych przez Ciebie: im szerszy, tym więcej warto doprecyzować w składniku z największym rozrzutem.")</f>
        <v>Model nie ma jeszcze danych dla tego scenariusza. Uzupełnij fazy zdarzenia, macierz objęcia i przynajmniej jeden proces z metodą wyceny.</v>
      </c>
      <c r="C64" s="72"/>
      <c r="D64" s="72"/>
      <c r="E64" s="72"/>
    </row>
    <row r="65" customFormat="false" ht="39.75" hidden="false" customHeight="true" outlineLevel="0" collapsed="false">
      <c r="B65" s="72"/>
      <c r="C65" s="72"/>
      <c r="D65" s="72"/>
      <c r="E65" s="72"/>
    </row>
    <row r="67" customFormat="false" ht="52.5" hidden="false" customHeight="true" outlineLevel="0" collapsed="false">
      <c r="B67" s="12" t="s">
        <v>56</v>
      </c>
      <c r="C67" s="12"/>
      <c r="D67" s="12"/>
      <c r="E67" s="12"/>
    </row>
    <row r="68" customFormat="false" ht="19.5" hidden="false" customHeight="true" outlineLevel="0" collapsed="false">
      <c r="A68" s="4" t="s">
        <v>780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customFormat="false" ht="24" hidden="false" customHeight="true" outlineLevel="0" collapsed="false">
      <c r="A69" s="24"/>
      <c r="B69" s="24"/>
      <c r="C69" s="24"/>
      <c r="D69" s="24"/>
      <c r="E69" s="24"/>
      <c r="F69" s="24" t="s">
        <v>781</v>
      </c>
      <c r="G69" s="24" t="s">
        <v>763</v>
      </c>
      <c r="H69" s="24" t="s">
        <v>782</v>
      </c>
      <c r="I69" s="24" t="s">
        <v>783</v>
      </c>
      <c r="J69" s="24" t="s">
        <v>784</v>
      </c>
      <c r="K69" s="24" t="s">
        <v>785</v>
      </c>
      <c r="L69" s="24" t="s">
        <v>786</v>
      </c>
    </row>
    <row r="70" customFormat="false" ht="15.75" hidden="false" customHeight="true" outlineLevel="0" collapsed="false">
      <c r="F70" s="26" t="n">
        <v>1</v>
      </c>
      <c r="G70" s="26" t="s">
        <v>787</v>
      </c>
      <c r="H70" s="35" t="n">
        <f aca="false">IFERROR(INDEX(SCENARIUSZE!$C$99:$J$99,$C$7),0)</f>
        <v>0</v>
      </c>
      <c r="I70" s="35" t="n">
        <f aca="false">IFERROR(INDEX(SCENARIUSZE!$C$98:$J$98,$C$7),0)</f>
        <v>0</v>
      </c>
      <c r="J70" s="35" t="n">
        <f aca="false">IFERROR(INDEX(SCENARIUSZE!$C$100:$J$100,$C$7),0)</f>
        <v>0</v>
      </c>
      <c r="K70" s="34" t="n">
        <f aca="false">$H70+$F70*0.000001</f>
        <v>1E-006</v>
      </c>
      <c r="L70" s="34" t="n">
        <f aca="false">($J70-$I70)+$F70*0.000001</f>
        <v>1E-006</v>
      </c>
    </row>
    <row r="71" customFormat="false" ht="15.75" hidden="false" customHeight="true" outlineLevel="0" collapsed="false">
      <c r="F71" s="26" t="n">
        <v>2</v>
      </c>
      <c r="G71" s="26" t="s">
        <v>417</v>
      </c>
      <c r="H71" s="35" t="n">
        <f aca="false">IFERROR(SUMIFS('KOSZTY SZCZEGÓŁOWE'!$W$7:$W$126,'KOSZTY SZCZEGÓŁOWE'!$B$7:$B$126,$C$5,'KOSZTY SZCZEGÓŁOWE'!$D$7:$D$126,$G71,'KOSZTY SZCZEGÓŁOWE'!$F$7:$F$126,"GOTÓWKA")+SUMIFS('KOSZTY SZCZEGÓŁOWE'!$W$7:$W$126,'KOSZTY SZCZEGÓŁOWE'!$B$7:$B$126,$C$5,'KOSZTY SZCZEGÓŁOWE'!$D$7:$D$126,$G71,'KOSZTY SZCZEGÓŁOWE'!$F$7:$F$126,"P&amp;L"),0)</f>
        <v>0</v>
      </c>
      <c r="I71" s="35" t="n">
        <f aca="false">IFERROR(SUMIFS('KOSZTY SZCZEGÓŁOWE'!$V$7:$V$126,'KOSZTY SZCZEGÓŁOWE'!$B$7:$B$126,$C$5,'KOSZTY SZCZEGÓŁOWE'!$D$7:$D$126,$G71,'KOSZTY SZCZEGÓŁOWE'!$F$7:$F$126,"GOTÓWKA")+SUMIFS('KOSZTY SZCZEGÓŁOWE'!$V$7:$V$126,'KOSZTY SZCZEGÓŁOWE'!$B$7:$B$126,$C$5,'KOSZTY SZCZEGÓŁOWE'!$D$7:$D$126,$G71,'KOSZTY SZCZEGÓŁOWE'!$F$7:$F$126,"P&amp;L"),0)</f>
        <v>0</v>
      </c>
      <c r="J71" s="35" t="n">
        <f aca="false">IFERROR(SUMIFS('KOSZTY SZCZEGÓŁOWE'!$X$7:$X$126,'KOSZTY SZCZEGÓŁOWE'!$B$7:$B$126,$C$5,'KOSZTY SZCZEGÓŁOWE'!$D$7:$D$126,$G71,'KOSZTY SZCZEGÓŁOWE'!$F$7:$F$126,"GOTÓWKA")+SUMIFS('KOSZTY SZCZEGÓŁOWE'!$X$7:$X$126,'KOSZTY SZCZEGÓŁOWE'!$B$7:$B$126,$C$5,'KOSZTY SZCZEGÓŁOWE'!$D$7:$D$126,$G71,'KOSZTY SZCZEGÓŁOWE'!$F$7:$F$126,"P&amp;L"),0)</f>
        <v>0</v>
      </c>
      <c r="K71" s="34" t="n">
        <f aca="false">$H71+$F71*0.000001</f>
        <v>2E-006</v>
      </c>
      <c r="L71" s="34" t="n">
        <f aca="false">($J71-$I71)+$F71*0.000001</f>
        <v>2E-006</v>
      </c>
    </row>
    <row r="72" customFormat="false" ht="15.75" hidden="false" customHeight="true" outlineLevel="0" collapsed="false">
      <c r="F72" s="26" t="n">
        <v>3</v>
      </c>
      <c r="G72" s="26" t="s">
        <v>430</v>
      </c>
      <c r="H72" s="35" t="n">
        <f aca="false">IFERROR(SUMIFS('KOSZTY SZCZEGÓŁOWE'!$W$7:$W$126,'KOSZTY SZCZEGÓŁOWE'!$B$7:$B$126,$C$5,'KOSZTY SZCZEGÓŁOWE'!$D$7:$D$126,$G72,'KOSZTY SZCZEGÓŁOWE'!$F$7:$F$126,"GOTÓWKA")+SUMIFS('KOSZTY SZCZEGÓŁOWE'!$W$7:$W$126,'KOSZTY SZCZEGÓŁOWE'!$B$7:$B$126,$C$5,'KOSZTY SZCZEGÓŁOWE'!$D$7:$D$126,$G72,'KOSZTY SZCZEGÓŁOWE'!$F$7:$F$126,"P&amp;L"),0)</f>
        <v>0</v>
      </c>
      <c r="I72" s="35" t="n">
        <f aca="false">IFERROR(SUMIFS('KOSZTY SZCZEGÓŁOWE'!$V$7:$V$126,'KOSZTY SZCZEGÓŁOWE'!$B$7:$B$126,$C$5,'KOSZTY SZCZEGÓŁOWE'!$D$7:$D$126,$G72,'KOSZTY SZCZEGÓŁOWE'!$F$7:$F$126,"GOTÓWKA")+SUMIFS('KOSZTY SZCZEGÓŁOWE'!$V$7:$V$126,'KOSZTY SZCZEGÓŁOWE'!$B$7:$B$126,$C$5,'KOSZTY SZCZEGÓŁOWE'!$D$7:$D$126,$G72,'KOSZTY SZCZEGÓŁOWE'!$F$7:$F$126,"P&amp;L"),0)</f>
        <v>0</v>
      </c>
      <c r="J72" s="35" t="n">
        <f aca="false">IFERROR(SUMIFS('KOSZTY SZCZEGÓŁOWE'!$X$7:$X$126,'KOSZTY SZCZEGÓŁOWE'!$B$7:$B$126,$C$5,'KOSZTY SZCZEGÓŁOWE'!$D$7:$D$126,$G72,'KOSZTY SZCZEGÓŁOWE'!$F$7:$F$126,"GOTÓWKA")+SUMIFS('KOSZTY SZCZEGÓŁOWE'!$X$7:$X$126,'KOSZTY SZCZEGÓŁOWE'!$B$7:$B$126,$C$5,'KOSZTY SZCZEGÓŁOWE'!$D$7:$D$126,$G72,'KOSZTY SZCZEGÓŁOWE'!$F$7:$F$126,"P&amp;L"),0)</f>
        <v>0</v>
      </c>
      <c r="K72" s="34" t="n">
        <f aca="false">$H72+$F72*0.000001</f>
        <v>3E-006</v>
      </c>
      <c r="L72" s="34" t="n">
        <f aca="false">($J72-$I72)+$F72*0.000001</f>
        <v>3E-006</v>
      </c>
    </row>
    <row r="73" customFormat="false" ht="15.75" hidden="false" customHeight="true" outlineLevel="0" collapsed="false">
      <c r="F73" s="26" t="n">
        <v>4</v>
      </c>
      <c r="G73" s="26" t="s">
        <v>440</v>
      </c>
      <c r="H73" s="35" t="n">
        <f aca="false">IFERROR(SUMIFS('KOSZTY SZCZEGÓŁOWE'!$W$7:$W$126,'KOSZTY SZCZEGÓŁOWE'!$B$7:$B$126,$C$5,'KOSZTY SZCZEGÓŁOWE'!$D$7:$D$126,$G73,'KOSZTY SZCZEGÓŁOWE'!$F$7:$F$126,"GOTÓWKA")+SUMIFS('KOSZTY SZCZEGÓŁOWE'!$W$7:$W$126,'KOSZTY SZCZEGÓŁOWE'!$B$7:$B$126,$C$5,'KOSZTY SZCZEGÓŁOWE'!$D$7:$D$126,$G73,'KOSZTY SZCZEGÓŁOWE'!$F$7:$F$126,"P&amp;L"),0)</f>
        <v>0</v>
      </c>
      <c r="I73" s="35" t="n">
        <f aca="false">IFERROR(SUMIFS('KOSZTY SZCZEGÓŁOWE'!$V$7:$V$126,'KOSZTY SZCZEGÓŁOWE'!$B$7:$B$126,$C$5,'KOSZTY SZCZEGÓŁOWE'!$D$7:$D$126,$G73,'KOSZTY SZCZEGÓŁOWE'!$F$7:$F$126,"GOTÓWKA")+SUMIFS('KOSZTY SZCZEGÓŁOWE'!$V$7:$V$126,'KOSZTY SZCZEGÓŁOWE'!$B$7:$B$126,$C$5,'KOSZTY SZCZEGÓŁOWE'!$D$7:$D$126,$G73,'KOSZTY SZCZEGÓŁOWE'!$F$7:$F$126,"P&amp;L"),0)</f>
        <v>0</v>
      </c>
      <c r="J73" s="35" t="n">
        <f aca="false">IFERROR(SUMIFS('KOSZTY SZCZEGÓŁOWE'!$X$7:$X$126,'KOSZTY SZCZEGÓŁOWE'!$B$7:$B$126,$C$5,'KOSZTY SZCZEGÓŁOWE'!$D$7:$D$126,$G73,'KOSZTY SZCZEGÓŁOWE'!$F$7:$F$126,"GOTÓWKA")+SUMIFS('KOSZTY SZCZEGÓŁOWE'!$X$7:$X$126,'KOSZTY SZCZEGÓŁOWE'!$B$7:$B$126,$C$5,'KOSZTY SZCZEGÓŁOWE'!$D$7:$D$126,$G73,'KOSZTY SZCZEGÓŁOWE'!$F$7:$F$126,"P&amp;L"),0)</f>
        <v>0</v>
      </c>
      <c r="K73" s="34" t="n">
        <f aca="false">$H73+$F73*0.000001</f>
        <v>4E-006</v>
      </c>
      <c r="L73" s="34" t="n">
        <f aca="false">($J73-$I73)+$F73*0.000001</f>
        <v>4E-006</v>
      </c>
    </row>
    <row r="74" customFormat="false" ht="15.75" hidden="false" customHeight="true" outlineLevel="0" collapsed="false">
      <c r="F74" s="26" t="n">
        <v>5</v>
      </c>
      <c r="G74" s="26" t="s">
        <v>447</v>
      </c>
      <c r="H74" s="35" t="n">
        <f aca="false">IFERROR(SUMIFS('KOSZTY SZCZEGÓŁOWE'!$W$7:$W$126,'KOSZTY SZCZEGÓŁOWE'!$B$7:$B$126,$C$5,'KOSZTY SZCZEGÓŁOWE'!$D$7:$D$126,$G74,'KOSZTY SZCZEGÓŁOWE'!$F$7:$F$126,"GOTÓWKA")+SUMIFS('KOSZTY SZCZEGÓŁOWE'!$W$7:$W$126,'KOSZTY SZCZEGÓŁOWE'!$B$7:$B$126,$C$5,'KOSZTY SZCZEGÓŁOWE'!$D$7:$D$126,$G74,'KOSZTY SZCZEGÓŁOWE'!$F$7:$F$126,"P&amp;L"),0)</f>
        <v>0</v>
      </c>
      <c r="I74" s="35" t="n">
        <f aca="false">IFERROR(SUMIFS('KOSZTY SZCZEGÓŁOWE'!$V$7:$V$126,'KOSZTY SZCZEGÓŁOWE'!$B$7:$B$126,$C$5,'KOSZTY SZCZEGÓŁOWE'!$D$7:$D$126,$G74,'KOSZTY SZCZEGÓŁOWE'!$F$7:$F$126,"GOTÓWKA")+SUMIFS('KOSZTY SZCZEGÓŁOWE'!$V$7:$V$126,'KOSZTY SZCZEGÓŁOWE'!$B$7:$B$126,$C$5,'KOSZTY SZCZEGÓŁOWE'!$D$7:$D$126,$G74,'KOSZTY SZCZEGÓŁOWE'!$F$7:$F$126,"P&amp;L"),0)</f>
        <v>0</v>
      </c>
      <c r="J74" s="35" t="n">
        <f aca="false">IFERROR(SUMIFS('KOSZTY SZCZEGÓŁOWE'!$X$7:$X$126,'KOSZTY SZCZEGÓŁOWE'!$B$7:$B$126,$C$5,'KOSZTY SZCZEGÓŁOWE'!$D$7:$D$126,$G74,'KOSZTY SZCZEGÓŁOWE'!$F$7:$F$126,"GOTÓWKA")+SUMIFS('KOSZTY SZCZEGÓŁOWE'!$X$7:$X$126,'KOSZTY SZCZEGÓŁOWE'!$B$7:$B$126,$C$5,'KOSZTY SZCZEGÓŁOWE'!$D$7:$D$126,$G74,'KOSZTY SZCZEGÓŁOWE'!$F$7:$F$126,"P&amp;L"),0)</f>
        <v>0</v>
      </c>
      <c r="K74" s="34" t="n">
        <f aca="false">$H74+$F74*0.000001</f>
        <v>5E-006</v>
      </c>
      <c r="L74" s="34" t="n">
        <f aca="false">($J74-$I74)+$F74*0.000001</f>
        <v>5E-006</v>
      </c>
    </row>
    <row r="75" customFormat="false" ht="15.75" hidden="false" customHeight="true" outlineLevel="0" collapsed="false">
      <c r="F75" s="26" t="n">
        <v>6</v>
      </c>
      <c r="G75" s="26" t="s">
        <v>454</v>
      </c>
      <c r="H75" s="35" t="n">
        <f aca="false">IFERROR(SUMIFS('KOSZTY SZCZEGÓŁOWE'!$W$7:$W$126,'KOSZTY SZCZEGÓŁOWE'!$B$7:$B$126,$C$5,'KOSZTY SZCZEGÓŁOWE'!$D$7:$D$126,$G75,'KOSZTY SZCZEGÓŁOWE'!$F$7:$F$126,"GOTÓWKA")+SUMIFS('KOSZTY SZCZEGÓŁOWE'!$W$7:$W$126,'KOSZTY SZCZEGÓŁOWE'!$B$7:$B$126,$C$5,'KOSZTY SZCZEGÓŁOWE'!$D$7:$D$126,$G75,'KOSZTY SZCZEGÓŁOWE'!$F$7:$F$126,"P&amp;L"),0)</f>
        <v>0</v>
      </c>
      <c r="I75" s="35" t="n">
        <f aca="false">IFERROR(SUMIFS('KOSZTY SZCZEGÓŁOWE'!$V$7:$V$126,'KOSZTY SZCZEGÓŁOWE'!$B$7:$B$126,$C$5,'KOSZTY SZCZEGÓŁOWE'!$D$7:$D$126,$G75,'KOSZTY SZCZEGÓŁOWE'!$F$7:$F$126,"GOTÓWKA")+SUMIFS('KOSZTY SZCZEGÓŁOWE'!$V$7:$V$126,'KOSZTY SZCZEGÓŁOWE'!$B$7:$B$126,$C$5,'KOSZTY SZCZEGÓŁOWE'!$D$7:$D$126,$G75,'KOSZTY SZCZEGÓŁOWE'!$F$7:$F$126,"P&amp;L"),0)</f>
        <v>0</v>
      </c>
      <c r="J75" s="35" t="n">
        <f aca="false">IFERROR(SUMIFS('KOSZTY SZCZEGÓŁOWE'!$X$7:$X$126,'KOSZTY SZCZEGÓŁOWE'!$B$7:$B$126,$C$5,'KOSZTY SZCZEGÓŁOWE'!$D$7:$D$126,$G75,'KOSZTY SZCZEGÓŁOWE'!$F$7:$F$126,"GOTÓWKA")+SUMIFS('KOSZTY SZCZEGÓŁOWE'!$X$7:$X$126,'KOSZTY SZCZEGÓŁOWE'!$B$7:$B$126,$C$5,'KOSZTY SZCZEGÓŁOWE'!$D$7:$D$126,$G75,'KOSZTY SZCZEGÓŁOWE'!$F$7:$F$126,"P&amp;L"),0)</f>
        <v>0</v>
      </c>
      <c r="K75" s="34" t="n">
        <f aca="false">$H75+$F75*0.000001</f>
        <v>6E-006</v>
      </c>
      <c r="L75" s="34" t="n">
        <f aca="false">($J75-$I75)+$F75*0.000001</f>
        <v>6E-006</v>
      </c>
    </row>
    <row r="76" customFormat="false" ht="15.75" hidden="false" customHeight="true" outlineLevel="0" collapsed="false">
      <c r="F76" s="26" t="n">
        <v>7</v>
      </c>
      <c r="G76" s="26" t="s">
        <v>459</v>
      </c>
      <c r="H76" s="35" t="n">
        <f aca="false">IFERROR(SUMIFS('KOSZTY SZCZEGÓŁOWE'!$W$7:$W$126,'KOSZTY SZCZEGÓŁOWE'!$B$7:$B$126,$C$5,'KOSZTY SZCZEGÓŁOWE'!$D$7:$D$126,$G76,'KOSZTY SZCZEGÓŁOWE'!$F$7:$F$126,"GOTÓWKA")+SUMIFS('KOSZTY SZCZEGÓŁOWE'!$W$7:$W$126,'KOSZTY SZCZEGÓŁOWE'!$B$7:$B$126,$C$5,'KOSZTY SZCZEGÓŁOWE'!$D$7:$D$126,$G76,'KOSZTY SZCZEGÓŁOWE'!$F$7:$F$126,"P&amp;L"),0)</f>
        <v>0</v>
      </c>
      <c r="I76" s="35" t="n">
        <f aca="false">IFERROR(SUMIFS('KOSZTY SZCZEGÓŁOWE'!$V$7:$V$126,'KOSZTY SZCZEGÓŁOWE'!$B$7:$B$126,$C$5,'KOSZTY SZCZEGÓŁOWE'!$D$7:$D$126,$G76,'KOSZTY SZCZEGÓŁOWE'!$F$7:$F$126,"GOTÓWKA")+SUMIFS('KOSZTY SZCZEGÓŁOWE'!$V$7:$V$126,'KOSZTY SZCZEGÓŁOWE'!$B$7:$B$126,$C$5,'KOSZTY SZCZEGÓŁOWE'!$D$7:$D$126,$G76,'KOSZTY SZCZEGÓŁOWE'!$F$7:$F$126,"P&amp;L"),0)</f>
        <v>0</v>
      </c>
      <c r="J76" s="35" t="n">
        <f aca="false">IFERROR(SUMIFS('KOSZTY SZCZEGÓŁOWE'!$X$7:$X$126,'KOSZTY SZCZEGÓŁOWE'!$B$7:$B$126,$C$5,'KOSZTY SZCZEGÓŁOWE'!$D$7:$D$126,$G76,'KOSZTY SZCZEGÓŁOWE'!$F$7:$F$126,"GOTÓWKA")+SUMIFS('KOSZTY SZCZEGÓŁOWE'!$X$7:$X$126,'KOSZTY SZCZEGÓŁOWE'!$B$7:$B$126,$C$5,'KOSZTY SZCZEGÓŁOWE'!$D$7:$D$126,$G76,'KOSZTY SZCZEGÓŁOWE'!$F$7:$F$126,"P&amp;L"),0)</f>
        <v>0</v>
      </c>
      <c r="K76" s="34" t="n">
        <f aca="false">$H76+$F76*0.000001</f>
        <v>7E-006</v>
      </c>
      <c r="L76" s="34" t="n">
        <f aca="false">($J76-$I76)+$F76*0.000001</f>
        <v>7E-006</v>
      </c>
    </row>
    <row r="77" customFormat="false" ht="15.75" hidden="false" customHeight="true" outlineLevel="0" collapsed="false">
      <c r="F77" s="26" t="n">
        <v>8</v>
      </c>
      <c r="G77" s="26" t="s">
        <v>464</v>
      </c>
      <c r="H77" s="35" t="n">
        <f aca="false">IFERROR(SUMIFS('KOSZTY SZCZEGÓŁOWE'!$W$7:$W$126,'KOSZTY SZCZEGÓŁOWE'!$B$7:$B$126,$C$5,'KOSZTY SZCZEGÓŁOWE'!$D$7:$D$126,$G77,'KOSZTY SZCZEGÓŁOWE'!$F$7:$F$126,"GOTÓWKA")+SUMIFS('KOSZTY SZCZEGÓŁOWE'!$W$7:$W$126,'KOSZTY SZCZEGÓŁOWE'!$B$7:$B$126,$C$5,'KOSZTY SZCZEGÓŁOWE'!$D$7:$D$126,$G77,'KOSZTY SZCZEGÓŁOWE'!$F$7:$F$126,"P&amp;L"),0)</f>
        <v>0</v>
      </c>
      <c r="I77" s="35" t="n">
        <f aca="false">IFERROR(SUMIFS('KOSZTY SZCZEGÓŁOWE'!$V$7:$V$126,'KOSZTY SZCZEGÓŁOWE'!$B$7:$B$126,$C$5,'KOSZTY SZCZEGÓŁOWE'!$D$7:$D$126,$G77,'KOSZTY SZCZEGÓŁOWE'!$F$7:$F$126,"GOTÓWKA")+SUMIFS('KOSZTY SZCZEGÓŁOWE'!$V$7:$V$126,'KOSZTY SZCZEGÓŁOWE'!$B$7:$B$126,$C$5,'KOSZTY SZCZEGÓŁOWE'!$D$7:$D$126,$G77,'KOSZTY SZCZEGÓŁOWE'!$F$7:$F$126,"P&amp;L"),0)</f>
        <v>0</v>
      </c>
      <c r="J77" s="35" t="n">
        <f aca="false">IFERROR(SUMIFS('KOSZTY SZCZEGÓŁOWE'!$X$7:$X$126,'KOSZTY SZCZEGÓŁOWE'!$B$7:$B$126,$C$5,'KOSZTY SZCZEGÓŁOWE'!$D$7:$D$126,$G77,'KOSZTY SZCZEGÓŁOWE'!$F$7:$F$126,"GOTÓWKA")+SUMIFS('KOSZTY SZCZEGÓŁOWE'!$X$7:$X$126,'KOSZTY SZCZEGÓŁOWE'!$B$7:$B$126,$C$5,'KOSZTY SZCZEGÓŁOWE'!$D$7:$D$126,$G77,'KOSZTY SZCZEGÓŁOWE'!$F$7:$F$126,"P&amp;L"),0)</f>
        <v>0</v>
      </c>
      <c r="K77" s="34" t="n">
        <f aca="false">$H77+$F77*0.000001</f>
        <v>8E-006</v>
      </c>
      <c r="L77" s="34" t="n">
        <f aca="false">($J77-$I77)+$F77*0.000001</f>
        <v>8E-006</v>
      </c>
    </row>
    <row r="78" customFormat="false" ht="15.75" hidden="false" customHeight="true" outlineLevel="0" collapsed="false">
      <c r="F78" s="26" t="n">
        <v>9</v>
      </c>
      <c r="G78" s="26" t="s">
        <v>477</v>
      </c>
      <c r="H78" s="35" t="n">
        <f aca="false">IFERROR(SUMIFS('KOSZTY SZCZEGÓŁOWE'!$W$7:$W$126,'KOSZTY SZCZEGÓŁOWE'!$B$7:$B$126,$C$5,'KOSZTY SZCZEGÓŁOWE'!$D$7:$D$126,$G78,'KOSZTY SZCZEGÓŁOWE'!$F$7:$F$126,"GOTÓWKA")+SUMIFS('KOSZTY SZCZEGÓŁOWE'!$W$7:$W$126,'KOSZTY SZCZEGÓŁOWE'!$B$7:$B$126,$C$5,'KOSZTY SZCZEGÓŁOWE'!$D$7:$D$126,$G78,'KOSZTY SZCZEGÓŁOWE'!$F$7:$F$126,"P&amp;L"),0)</f>
        <v>0</v>
      </c>
      <c r="I78" s="35" t="n">
        <f aca="false">IFERROR(SUMIFS('KOSZTY SZCZEGÓŁOWE'!$V$7:$V$126,'KOSZTY SZCZEGÓŁOWE'!$B$7:$B$126,$C$5,'KOSZTY SZCZEGÓŁOWE'!$D$7:$D$126,$G78,'KOSZTY SZCZEGÓŁOWE'!$F$7:$F$126,"GOTÓWKA")+SUMIFS('KOSZTY SZCZEGÓŁOWE'!$V$7:$V$126,'KOSZTY SZCZEGÓŁOWE'!$B$7:$B$126,$C$5,'KOSZTY SZCZEGÓŁOWE'!$D$7:$D$126,$G78,'KOSZTY SZCZEGÓŁOWE'!$F$7:$F$126,"P&amp;L"),0)</f>
        <v>0</v>
      </c>
      <c r="J78" s="35" t="n">
        <f aca="false">IFERROR(SUMIFS('KOSZTY SZCZEGÓŁOWE'!$X$7:$X$126,'KOSZTY SZCZEGÓŁOWE'!$B$7:$B$126,$C$5,'KOSZTY SZCZEGÓŁOWE'!$D$7:$D$126,$G78,'KOSZTY SZCZEGÓŁOWE'!$F$7:$F$126,"GOTÓWKA")+SUMIFS('KOSZTY SZCZEGÓŁOWE'!$X$7:$X$126,'KOSZTY SZCZEGÓŁOWE'!$B$7:$B$126,$C$5,'KOSZTY SZCZEGÓŁOWE'!$D$7:$D$126,$G78,'KOSZTY SZCZEGÓŁOWE'!$F$7:$F$126,"P&amp;L"),0)</f>
        <v>0</v>
      </c>
      <c r="K78" s="34" t="n">
        <f aca="false">$H78+$F78*0.000001</f>
        <v>9E-006</v>
      </c>
      <c r="L78" s="34" t="n">
        <f aca="false">($J78-$I78)+$F78*0.000001</f>
        <v>9E-006</v>
      </c>
    </row>
    <row r="79" customFormat="false" ht="15.75" hidden="false" customHeight="true" outlineLevel="0" collapsed="false">
      <c r="F79" s="26" t="n">
        <v>10</v>
      </c>
      <c r="G79" s="26" t="s">
        <v>482</v>
      </c>
      <c r="H79" s="35" t="n">
        <f aca="false">IFERROR(SUMIFS('KOSZTY SZCZEGÓŁOWE'!$W$7:$W$126,'KOSZTY SZCZEGÓŁOWE'!$B$7:$B$126,$C$5,'KOSZTY SZCZEGÓŁOWE'!$D$7:$D$126,$G79,'KOSZTY SZCZEGÓŁOWE'!$F$7:$F$126,"GOTÓWKA")+SUMIFS('KOSZTY SZCZEGÓŁOWE'!$W$7:$W$126,'KOSZTY SZCZEGÓŁOWE'!$B$7:$B$126,$C$5,'KOSZTY SZCZEGÓŁOWE'!$D$7:$D$126,$G79,'KOSZTY SZCZEGÓŁOWE'!$F$7:$F$126,"P&amp;L"),0)</f>
        <v>0</v>
      </c>
      <c r="I79" s="35" t="n">
        <f aca="false">IFERROR(SUMIFS('KOSZTY SZCZEGÓŁOWE'!$V$7:$V$126,'KOSZTY SZCZEGÓŁOWE'!$B$7:$B$126,$C$5,'KOSZTY SZCZEGÓŁOWE'!$D$7:$D$126,$G79,'KOSZTY SZCZEGÓŁOWE'!$F$7:$F$126,"GOTÓWKA")+SUMIFS('KOSZTY SZCZEGÓŁOWE'!$V$7:$V$126,'KOSZTY SZCZEGÓŁOWE'!$B$7:$B$126,$C$5,'KOSZTY SZCZEGÓŁOWE'!$D$7:$D$126,$G79,'KOSZTY SZCZEGÓŁOWE'!$F$7:$F$126,"P&amp;L"),0)</f>
        <v>0</v>
      </c>
      <c r="J79" s="35" t="n">
        <f aca="false">IFERROR(SUMIFS('KOSZTY SZCZEGÓŁOWE'!$X$7:$X$126,'KOSZTY SZCZEGÓŁOWE'!$B$7:$B$126,$C$5,'KOSZTY SZCZEGÓŁOWE'!$D$7:$D$126,$G79,'KOSZTY SZCZEGÓŁOWE'!$F$7:$F$126,"GOTÓWKA")+SUMIFS('KOSZTY SZCZEGÓŁOWE'!$X$7:$X$126,'KOSZTY SZCZEGÓŁOWE'!$B$7:$B$126,$C$5,'KOSZTY SZCZEGÓŁOWE'!$D$7:$D$126,$G79,'KOSZTY SZCZEGÓŁOWE'!$F$7:$F$126,"P&amp;L"),0)</f>
        <v>0</v>
      </c>
      <c r="K79" s="34" t="n">
        <f aca="false">$H79+$F79*0.000001</f>
        <v>1E-005</v>
      </c>
      <c r="L79" s="34" t="n">
        <f aca="false">($J79-$I79)+$F79*0.000001</f>
        <v>1E-005</v>
      </c>
    </row>
    <row r="80" customFormat="false" ht="15.75" hidden="false" customHeight="true" outlineLevel="0" collapsed="false">
      <c r="F80" s="26" t="n">
        <v>11</v>
      </c>
      <c r="G80" s="26" t="s">
        <v>487</v>
      </c>
      <c r="H80" s="35" t="n">
        <f aca="false">IFERROR(SUMIFS('KOSZTY SZCZEGÓŁOWE'!$W$7:$W$126,'KOSZTY SZCZEGÓŁOWE'!$B$7:$B$126,$C$5,'KOSZTY SZCZEGÓŁOWE'!$D$7:$D$126,$G80,'KOSZTY SZCZEGÓŁOWE'!$F$7:$F$126,"GOTÓWKA")+SUMIFS('KOSZTY SZCZEGÓŁOWE'!$W$7:$W$126,'KOSZTY SZCZEGÓŁOWE'!$B$7:$B$126,$C$5,'KOSZTY SZCZEGÓŁOWE'!$D$7:$D$126,$G80,'KOSZTY SZCZEGÓŁOWE'!$F$7:$F$126,"P&amp;L"),0)</f>
        <v>0</v>
      </c>
      <c r="I80" s="35" t="n">
        <f aca="false">IFERROR(SUMIFS('KOSZTY SZCZEGÓŁOWE'!$V$7:$V$126,'KOSZTY SZCZEGÓŁOWE'!$B$7:$B$126,$C$5,'KOSZTY SZCZEGÓŁOWE'!$D$7:$D$126,$G80,'KOSZTY SZCZEGÓŁOWE'!$F$7:$F$126,"GOTÓWKA")+SUMIFS('KOSZTY SZCZEGÓŁOWE'!$V$7:$V$126,'KOSZTY SZCZEGÓŁOWE'!$B$7:$B$126,$C$5,'KOSZTY SZCZEGÓŁOWE'!$D$7:$D$126,$G80,'KOSZTY SZCZEGÓŁOWE'!$F$7:$F$126,"P&amp;L"),0)</f>
        <v>0</v>
      </c>
      <c r="J80" s="35" t="n">
        <f aca="false">IFERROR(SUMIFS('KOSZTY SZCZEGÓŁOWE'!$X$7:$X$126,'KOSZTY SZCZEGÓŁOWE'!$B$7:$B$126,$C$5,'KOSZTY SZCZEGÓŁOWE'!$D$7:$D$126,$G80,'KOSZTY SZCZEGÓŁOWE'!$F$7:$F$126,"GOTÓWKA")+SUMIFS('KOSZTY SZCZEGÓŁOWE'!$X$7:$X$126,'KOSZTY SZCZEGÓŁOWE'!$B$7:$B$126,$C$5,'KOSZTY SZCZEGÓŁOWE'!$D$7:$D$126,$G80,'KOSZTY SZCZEGÓŁOWE'!$F$7:$F$126,"P&amp;L"),0)</f>
        <v>0</v>
      </c>
      <c r="K80" s="34" t="n">
        <f aca="false">$H80+$F80*0.000001</f>
        <v>1.1E-005</v>
      </c>
      <c r="L80" s="34" t="n">
        <f aca="false">($J80-$I80)+$F80*0.000001</f>
        <v>1.1E-005</v>
      </c>
    </row>
    <row r="81" customFormat="false" ht="15.75" hidden="false" customHeight="true" outlineLevel="0" collapsed="false">
      <c r="F81" s="26" t="n">
        <v>12</v>
      </c>
      <c r="G81" s="26" t="s">
        <v>494</v>
      </c>
      <c r="H81" s="35" t="n">
        <f aca="false">IFERROR(SUMIFS('KOSZTY SZCZEGÓŁOWE'!$W$7:$W$126,'KOSZTY SZCZEGÓŁOWE'!$B$7:$B$126,$C$5,'KOSZTY SZCZEGÓŁOWE'!$D$7:$D$126,$G81,'KOSZTY SZCZEGÓŁOWE'!$F$7:$F$126,"GOTÓWKA")+SUMIFS('KOSZTY SZCZEGÓŁOWE'!$W$7:$W$126,'KOSZTY SZCZEGÓŁOWE'!$B$7:$B$126,$C$5,'KOSZTY SZCZEGÓŁOWE'!$D$7:$D$126,$G81,'KOSZTY SZCZEGÓŁOWE'!$F$7:$F$126,"P&amp;L"),0)</f>
        <v>0</v>
      </c>
      <c r="I81" s="35" t="n">
        <f aca="false">IFERROR(SUMIFS('KOSZTY SZCZEGÓŁOWE'!$V$7:$V$126,'KOSZTY SZCZEGÓŁOWE'!$B$7:$B$126,$C$5,'KOSZTY SZCZEGÓŁOWE'!$D$7:$D$126,$G81,'KOSZTY SZCZEGÓŁOWE'!$F$7:$F$126,"GOTÓWKA")+SUMIFS('KOSZTY SZCZEGÓŁOWE'!$V$7:$V$126,'KOSZTY SZCZEGÓŁOWE'!$B$7:$B$126,$C$5,'KOSZTY SZCZEGÓŁOWE'!$D$7:$D$126,$G81,'KOSZTY SZCZEGÓŁOWE'!$F$7:$F$126,"P&amp;L"),0)</f>
        <v>0</v>
      </c>
      <c r="J81" s="35" t="n">
        <f aca="false">IFERROR(SUMIFS('KOSZTY SZCZEGÓŁOWE'!$X$7:$X$126,'KOSZTY SZCZEGÓŁOWE'!$B$7:$B$126,$C$5,'KOSZTY SZCZEGÓŁOWE'!$D$7:$D$126,$G81,'KOSZTY SZCZEGÓŁOWE'!$F$7:$F$126,"GOTÓWKA")+SUMIFS('KOSZTY SZCZEGÓŁOWE'!$X$7:$X$126,'KOSZTY SZCZEGÓŁOWE'!$B$7:$B$126,$C$5,'KOSZTY SZCZEGÓŁOWE'!$D$7:$D$126,$G81,'KOSZTY SZCZEGÓŁOWE'!$F$7:$F$126,"P&amp;L"),0)</f>
        <v>0</v>
      </c>
      <c r="K81" s="34" t="n">
        <f aca="false">$H81+$F81*0.000001</f>
        <v>1.2E-005</v>
      </c>
      <c r="L81" s="34" t="n">
        <f aca="false">($J81-$I81)+$F81*0.000001</f>
        <v>1.2E-005</v>
      </c>
    </row>
    <row r="82" customFormat="false" ht="15.75" hidden="false" customHeight="true" outlineLevel="0" collapsed="false">
      <c r="F82" s="26" t="n">
        <v>13</v>
      </c>
      <c r="G82" s="26" t="s">
        <v>788</v>
      </c>
      <c r="H82" s="35" t="n">
        <f aca="false">IFERROR(INDEX(SCENARIUSZE!$C$117:$J$117,$C$7),0)</f>
        <v>0</v>
      </c>
      <c r="I82" s="35" t="n">
        <f aca="false">IFERROR(INDEX(SCENARIUSZE!$C$116:$J$116,$C$7),0)</f>
        <v>0</v>
      </c>
      <c r="J82" s="35" t="n">
        <f aca="false">IFERROR(INDEX(SCENARIUSZE!$C$118:$J$118,$C$7),0)</f>
        <v>0</v>
      </c>
      <c r="K82" s="34" t="n">
        <f aca="false">$H82+$F82*0.000001</f>
        <v>1.3E-005</v>
      </c>
      <c r="L82" s="34" t="n">
        <f aca="false">($J82-$I82)+$F82*0.000001</f>
        <v>1.3E-005</v>
      </c>
    </row>
    <row r="83" customFormat="false" ht="15.75" hidden="false" customHeight="true" outlineLevel="0" collapsed="false">
      <c r="F83" s="26" t="n">
        <v>14</v>
      </c>
      <c r="G83" s="26" t="s">
        <v>789</v>
      </c>
      <c r="H83" s="35" t="n">
        <f aca="false">IFERROR(INDEX(SCENARIUSZE!$C$120:$J$120,$C$7),0)</f>
        <v>0</v>
      </c>
      <c r="I83" s="35" t="n">
        <f aca="false">IFERROR(INDEX(SCENARIUSZE!$C$119:$J$119,$C$7),0)</f>
        <v>0</v>
      </c>
      <c r="J83" s="35" t="n">
        <f aca="false">IFERROR(INDEX(SCENARIUSZE!$C$121:$J$121,$C$7),0)</f>
        <v>0</v>
      </c>
      <c r="K83" s="34" t="n">
        <f aca="false">$H83+$F83*0.000001</f>
        <v>1.4E-005</v>
      </c>
      <c r="L83" s="34" t="n">
        <f aca="false">($J83-$I83)+$F83*0.000001</f>
        <v>1.4E-005</v>
      </c>
    </row>
    <row r="84" customFormat="false" ht="40.5" hidden="false" customHeight="true" outlineLevel="0" collapsed="false">
      <c r="F84" s="12" t="s">
        <v>790</v>
      </c>
      <c r="G84" s="12"/>
      <c r="H84" s="12"/>
      <c r="I84" s="12"/>
      <c r="J84" s="12"/>
      <c r="K84" s="12"/>
    </row>
    <row r="88" customFormat="false" ht="19.5" hidden="false" customHeight="true" outlineLevel="0" collapsed="false">
      <c r="A88" s="4" t="s">
        <v>791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customFormat="false" ht="24" hidden="false" customHeight="true" outlineLevel="0" collapsed="false">
      <c r="A89" s="24"/>
      <c r="B89" s="24"/>
      <c r="C89" s="24"/>
      <c r="D89" s="24"/>
      <c r="E89" s="24"/>
      <c r="F89" s="24" t="s">
        <v>314</v>
      </c>
      <c r="G89" s="24" t="s">
        <v>792</v>
      </c>
      <c r="H89" s="24" t="s">
        <v>793</v>
      </c>
      <c r="I89" s="24" t="s">
        <v>794</v>
      </c>
      <c r="J89" s="24"/>
      <c r="K89" s="24"/>
      <c r="L89" s="24"/>
    </row>
    <row r="90" customFormat="false" ht="15.75" hidden="false" customHeight="true" outlineLevel="0" collapsed="false">
      <c r="F90" s="26" t="s">
        <v>236</v>
      </c>
      <c r="G90" s="53" t="n">
        <f aca="false">IFERROR(INDEX(SCENARIUSZE!$C$19:$J$30,1,$C$7),0)</f>
        <v>0</v>
      </c>
      <c r="H90" s="34" t="str">
        <f aca="false">IF(AND($G90&gt;0,PROCESY!$V$6&lt;&gt;"",PROCESY!$V$6&gt;0),PROCESY!$V$6,"")</f>
        <v/>
      </c>
      <c r="I90" s="34" t="str">
        <f aca="false">IF(AND($G90&gt;0,PROCESY!$U$6&lt;&gt;"",PROCESY!$U$6&gt;0),PROCESY!$U$6,"")</f>
        <v/>
      </c>
    </row>
    <row r="91" customFormat="false" ht="15.75" hidden="false" customHeight="true" outlineLevel="0" collapsed="false">
      <c r="F91" s="26" t="s">
        <v>237</v>
      </c>
      <c r="G91" s="53" t="n">
        <f aca="false">IFERROR(INDEX(SCENARIUSZE!$C$19:$J$30,2,$C$7),0)</f>
        <v>0</v>
      </c>
      <c r="H91" s="34" t="str">
        <f aca="false">IF(AND($G91&gt;0,PROCESY!$V$7&lt;&gt;"",PROCESY!$V$7&gt;0),PROCESY!$V$7,"")</f>
        <v/>
      </c>
      <c r="I91" s="34" t="str">
        <f aca="false">IF(AND($G91&gt;0,PROCESY!$U$7&lt;&gt;"",PROCESY!$U$7&gt;0),PROCESY!$U$7,"")</f>
        <v/>
      </c>
    </row>
    <row r="92" customFormat="false" ht="15.75" hidden="false" customHeight="true" outlineLevel="0" collapsed="false">
      <c r="F92" s="26" t="s">
        <v>238</v>
      </c>
      <c r="G92" s="53" t="n">
        <f aca="false">IFERROR(INDEX(SCENARIUSZE!$C$19:$J$30,3,$C$7),0)</f>
        <v>0</v>
      </c>
      <c r="H92" s="34" t="str">
        <f aca="false">IF(AND($G92&gt;0,PROCESY!$V$8&lt;&gt;"",PROCESY!$V$8&gt;0),PROCESY!$V$8,"")</f>
        <v/>
      </c>
      <c r="I92" s="34" t="str">
        <f aca="false">IF(AND($G92&gt;0,PROCESY!$U$8&lt;&gt;"",PROCESY!$U$8&gt;0),PROCESY!$U$8,"")</f>
        <v/>
      </c>
    </row>
    <row r="93" customFormat="false" ht="15.75" hidden="false" customHeight="true" outlineLevel="0" collapsed="false">
      <c r="F93" s="26" t="s">
        <v>239</v>
      </c>
      <c r="G93" s="53" t="n">
        <f aca="false">IFERROR(INDEX(SCENARIUSZE!$C$19:$J$30,4,$C$7),0)</f>
        <v>0</v>
      </c>
      <c r="H93" s="34" t="str">
        <f aca="false">IF(AND($G93&gt;0,PROCESY!$V$9&lt;&gt;"",PROCESY!$V$9&gt;0),PROCESY!$V$9,"")</f>
        <v/>
      </c>
      <c r="I93" s="34" t="str">
        <f aca="false">IF(AND($G93&gt;0,PROCESY!$U$9&lt;&gt;"",PROCESY!$U$9&gt;0),PROCESY!$U$9,"")</f>
        <v/>
      </c>
    </row>
    <row r="94" customFormat="false" ht="15.75" hidden="false" customHeight="true" outlineLevel="0" collapsed="false">
      <c r="F94" s="26" t="s">
        <v>240</v>
      </c>
      <c r="G94" s="53" t="n">
        <f aca="false">IFERROR(INDEX(SCENARIUSZE!$C$19:$J$30,5,$C$7),0)</f>
        <v>0</v>
      </c>
      <c r="H94" s="34" t="str">
        <f aca="false">IF(AND($G94&gt;0,PROCESY!$V$10&lt;&gt;"",PROCESY!$V$10&gt;0),PROCESY!$V$10,"")</f>
        <v/>
      </c>
      <c r="I94" s="34" t="str">
        <f aca="false">IF(AND($G94&gt;0,PROCESY!$U$10&lt;&gt;"",PROCESY!$U$10&gt;0),PROCESY!$U$10,"")</f>
        <v/>
      </c>
    </row>
    <row r="95" customFormat="false" ht="15.75" hidden="false" customHeight="true" outlineLevel="0" collapsed="false">
      <c r="F95" s="26" t="s">
        <v>241</v>
      </c>
      <c r="G95" s="53" t="n">
        <f aca="false">IFERROR(INDEX(SCENARIUSZE!$C$19:$J$30,6,$C$7),0)</f>
        <v>0</v>
      </c>
      <c r="H95" s="34" t="str">
        <f aca="false">IF(AND($G95&gt;0,PROCESY!$V$11&lt;&gt;"",PROCESY!$V$11&gt;0),PROCESY!$V$11,"")</f>
        <v/>
      </c>
      <c r="I95" s="34" t="str">
        <f aca="false">IF(AND($G95&gt;0,PROCESY!$U$11&lt;&gt;"",PROCESY!$U$11&gt;0),PROCESY!$U$11,"")</f>
        <v/>
      </c>
    </row>
    <row r="96" customFormat="false" ht="15.75" hidden="false" customHeight="true" outlineLevel="0" collapsed="false">
      <c r="F96" s="26" t="s">
        <v>242</v>
      </c>
      <c r="G96" s="53" t="n">
        <f aca="false">IFERROR(INDEX(SCENARIUSZE!$C$19:$J$30,7,$C$7),0)</f>
        <v>0</v>
      </c>
      <c r="H96" s="34" t="str">
        <f aca="false">IF(AND($G96&gt;0,PROCESY!$V$12&lt;&gt;"",PROCESY!$V$12&gt;0),PROCESY!$V$12,"")</f>
        <v/>
      </c>
      <c r="I96" s="34" t="str">
        <f aca="false">IF(AND($G96&gt;0,PROCESY!$U$12&lt;&gt;"",PROCESY!$U$12&gt;0),PROCESY!$U$12,"")</f>
        <v/>
      </c>
    </row>
    <row r="97" customFormat="false" ht="15.75" hidden="false" customHeight="true" outlineLevel="0" collapsed="false">
      <c r="F97" s="26" t="s">
        <v>243</v>
      </c>
      <c r="G97" s="53" t="n">
        <f aca="false">IFERROR(INDEX(SCENARIUSZE!$C$19:$J$30,8,$C$7),0)</f>
        <v>0</v>
      </c>
      <c r="H97" s="34" t="str">
        <f aca="false">IF(AND($G97&gt;0,PROCESY!$V$13&lt;&gt;"",PROCESY!$V$13&gt;0),PROCESY!$V$13,"")</f>
        <v/>
      </c>
      <c r="I97" s="34" t="str">
        <f aca="false">IF(AND($G97&gt;0,PROCESY!$U$13&lt;&gt;"",PROCESY!$U$13&gt;0),PROCESY!$U$13,"")</f>
        <v/>
      </c>
    </row>
    <row r="98" customFormat="false" ht="15.75" hidden="false" customHeight="true" outlineLevel="0" collapsed="false">
      <c r="F98" s="26" t="s">
        <v>244</v>
      </c>
      <c r="G98" s="53" t="n">
        <f aca="false">IFERROR(INDEX(SCENARIUSZE!$C$19:$J$30,9,$C$7),0)</f>
        <v>0</v>
      </c>
      <c r="H98" s="34" t="str">
        <f aca="false">IF(AND($G98&gt;0,PROCESY!$V$14&lt;&gt;"",PROCESY!$V$14&gt;0),PROCESY!$V$14,"")</f>
        <v/>
      </c>
      <c r="I98" s="34" t="str">
        <f aca="false">IF(AND($G98&gt;0,PROCESY!$U$14&lt;&gt;"",PROCESY!$U$14&gt;0),PROCESY!$U$14,"")</f>
        <v/>
      </c>
    </row>
    <row r="99" customFormat="false" ht="15.75" hidden="false" customHeight="true" outlineLevel="0" collapsed="false">
      <c r="F99" s="26" t="s">
        <v>245</v>
      </c>
      <c r="G99" s="53" t="n">
        <f aca="false">IFERROR(INDEX(SCENARIUSZE!$C$19:$J$30,10,$C$7),0)</f>
        <v>0</v>
      </c>
      <c r="H99" s="34" t="str">
        <f aca="false">IF(AND($G99&gt;0,PROCESY!$V$15&lt;&gt;"",PROCESY!$V$15&gt;0),PROCESY!$V$15,"")</f>
        <v/>
      </c>
      <c r="I99" s="34" t="str">
        <f aca="false">IF(AND($G99&gt;0,PROCESY!$U$15&lt;&gt;"",PROCESY!$U$15&gt;0),PROCESY!$U$15,"")</f>
        <v/>
      </c>
    </row>
    <row r="100" customFormat="false" ht="15.75" hidden="false" customHeight="true" outlineLevel="0" collapsed="false">
      <c r="F100" s="26" t="s">
        <v>246</v>
      </c>
      <c r="G100" s="53" t="n">
        <f aca="false">IFERROR(INDEX(SCENARIUSZE!$C$19:$J$30,11,$C$7),0)</f>
        <v>0</v>
      </c>
      <c r="H100" s="34" t="str">
        <f aca="false">IF(AND($G100&gt;0,PROCESY!$V$16&lt;&gt;"",PROCESY!$V$16&gt;0),PROCESY!$V$16,"")</f>
        <v/>
      </c>
      <c r="I100" s="34" t="str">
        <f aca="false">IF(AND($G100&gt;0,PROCESY!$U$16&lt;&gt;"",PROCESY!$U$16&gt;0),PROCESY!$U$16,"")</f>
        <v/>
      </c>
    </row>
    <row r="101" customFormat="false" ht="15.75" hidden="false" customHeight="true" outlineLevel="0" collapsed="false">
      <c r="F101" s="26" t="s">
        <v>247</v>
      </c>
      <c r="G101" s="53" t="n">
        <f aca="false">IFERROR(INDEX(SCENARIUSZE!$C$19:$J$30,12,$C$7),0)</f>
        <v>0</v>
      </c>
      <c r="H101" s="34" t="str">
        <f aca="false">IF(AND($G101&gt;0,PROCESY!$V$17&lt;&gt;"",PROCESY!$V$17&gt;0),PROCESY!$V$17,"")</f>
        <v/>
      </c>
      <c r="I101" s="34" t="str">
        <f aca="false">IF(AND($G101&gt;0,PROCESY!$U$17&lt;&gt;"",PROCESY!$U$17&gt;0),PROCESY!$U$17,"")</f>
        <v/>
      </c>
    </row>
  </sheetData>
  <mergeCells count="8">
    <mergeCell ref="A2:E2"/>
    <mergeCell ref="A3:E3"/>
    <mergeCell ref="C24:E24"/>
    <mergeCell ref="B44:E44"/>
    <mergeCell ref="B53:E53"/>
    <mergeCell ref="B64:E65"/>
    <mergeCell ref="B67:E67"/>
    <mergeCell ref="F84:K84"/>
  </mergeCells>
  <dataValidations count="1">
    <dataValidation allowBlank="true" error="Wybierz wartość z listy." errorStyle="stop" errorTitle="Wartość spoza listy" operator="between" showDropDown="false" showErrorMessage="false" showInputMessage="false" sqref="C5" type="list">
      <formula1>'LISTY POMOCNICZE'!$L$8:$L$15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true"/>
  </sheetPr>
  <dimension ref="A2:E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4"/>
    <col collapsed="false" customWidth="true" hidden="false" outlineLevel="0" max="5" min="3" style="0" width="16"/>
    <col collapsed="false" customWidth="true" hidden="false" outlineLevel="0" max="6" min="6" style="0" width="2"/>
  </cols>
  <sheetData>
    <row r="2" customFormat="false" ht="24" hidden="false" customHeight="true" outlineLevel="0" collapsed="false">
      <c r="B2" s="73" t="s">
        <v>795</v>
      </c>
    </row>
    <row r="3" customFormat="false" ht="15" hidden="false" customHeight="false" outlineLevel="0" collapsed="false">
      <c r="B3" s="2" t="str">
        <f aca="false">IF(DASHBOARD!$C$6="","Scenariusz: (nienazwany)","Scenariusz: "&amp;DASHBOARD!$C$6)</f>
        <v>Scenariusz: (nienazwany)</v>
      </c>
    </row>
    <row r="4" customFormat="false" ht="15" hidden="false" customHeight="false" outlineLevel="0" collapsed="false">
      <c r="B4" s="66" t="str">
        <f aca="false">IF('PROFIL FIRMY'!$D$7="","Organizacja: (nie podano)","Organizacja: "&amp;'PROFIL FIRMY'!$D$7)&amp;"   ·   "&amp;IF('PROFIL FIRMY'!$D$8="","Data analizy: (nie podano)","Data analizy: "&amp;'PROFIL FIRMY'!$D$8)</f>
        <v>Organizacja: (nie podano)   ·   Data analizy: (nie podano)</v>
      </c>
    </row>
    <row r="5" customFormat="false" ht="15" hidden="false" customHeight="false" outlineLevel="0" collapsed="false">
      <c r="B5" s="3" t="str">
        <f aca="false">"Podstawa kosztowa: "&amp;IF('PROFIL FIRMY'!$D$24="","(nie wybrano)",'PROFIL FIRMY'!$D$24)&amp;"   ·   waluta PLN   ·   wersja narzędzia 1.0"</f>
        <v>Podstawa kosztowa: (nie wybrano)   ·   waluta PLN   ·   wersja narzędzia 1.0</v>
      </c>
    </row>
    <row r="7" customFormat="false" ht="19.5" hidden="false" customHeight="true" outlineLevel="0" collapsed="false">
      <c r="A7" s="4" t="s">
        <v>796</v>
      </c>
      <c r="B7" s="5"/>
      <c r="C7" s="5"/>
      <c r="D7" s="5"/>
      <c r="E7" s="5"/>
    </row>
    <row r="8" customFormat="false" ht="19.5" hidden="false" customHeight="true" outlineLevel="0" collapsed="false">
      <c r="A8" s="24"/>
      <c r="B8" s="24" t="s">
        <v>398</v>
      </c>
      <c r="C8" s="24" t="s">
        <v>110</v>
      </c>
      <c r="D8" s="24" t="s">
        <v>111</v>
      </c>
      <c r="E8" s="24" t="s">
        <v>112</v>
      </c>
    </row>
    <row r="9" customFormat="false" ht="27.75" hidden="false" customHeight="true" outlineLevel="0" collapsed="false">
      <c r="B9" s="36" t="s">
        <v>120</v>
      </c>
      <c r="C9" s="69" t="n">
        <f aca="false">DASHBOARD!C11</f>
        <v>0</v>
      </c>
      <c r="D9" s="69" t="n">
        <f aca="false">DASHBOARD!D11</f>
        <v>0</v>
      </c>
      <c r="E9" s="69" t="n">
        <f aca="false">DASHBOARD!E11</f>
        <v>0</v>
      </c>
    </row>
    <row r="10" customFormat="false" ht="24" hidden="false" customHeight="true" outlineLevel="0" collapsed="false">
      <c r="B10" s="26" t="s">
        <v>750</v>
      </c>
      <c r="C10" s="35" t="n">
        <f aca="false">DASHBOARD!C12</f>
        <v>0</v>
      </c>
      <c r="D10" s="35" t="n">
        <f aca="false">DASHBOARD!D12</f>
        <v>0</v>
      </c>
      <c r="E10" s="35" t="n">
        <f aca="false">DASHBOARD!E12</f>
        <v>0</v>
      </c>
    </row>
    <row r="11" customFormat="false" ht="24" hidden="false" customHeight="true" outlineLevel="0" collapsed="false">
      <c r="B11" s="26" t="s">
        <v>797</v>
      </c>
      <c r="C11" s="35" t="n">
        <f aca="false">DASHBOARD!C13</f>
        <v>0</v>
      </c>
      <c r="D11" s="35" t="n">
        <f aca="false">DASHBOARD!D13</f>
        <v>0</v>
      </c>
      <c r="E11" s="35" t="n">
        <f aca="false">DASHBOARD!E13</f>
        <v>0</v>
      </c>
    </row>
    <row r="12" customFormat="false" ht="24" hidden="false" customHeight="true" outlineLevel="0" collapsed="false">
      <c r="B12" s="26" t="s">
        <v>798</v>
      </c>
      <c r="C12" s="35" t="n">
        <f aca="false">DASHBOARD!C14</f>
        <v>0</v>
      </c>
      <c r="D12" s="35" t="n">
        <f aca="false">DASHBOARD!D14</f>
        <v>0</v>
      </c>
      <c r="E12" s="35" t="n">
        <f aca="false">DASHBOARD!E14</f>
        <v>0</v>
      </c>
    </row>
    <row r="13" customFormat="false" ht="24" hidden="false" customHeight="true" outlineLevel="0" collapsed="false">
      <c r="B13" s="26" t="s">
        <v>799</v>
      </c>
      <c r="C13" s="35" t="n">
        <f aca="false">DASHBOARD!C15</f>
        <v>0</v>
      </c>
      <c r="D13" s="35" t="n">
        <f aca="false">DASHBOARD!D15</f>
        <v>0</v>
      </c>
      <c r="E13" s="35" t="n">
        <f aca="false">DASHBOARD!E15</f>
        <v>0</v>
      </c>
    </row>
    <row r="15" customFormat="false" ht="19.5" hidden="false" customHeight="true" outlineLevel="0" collapsed="false">
      <c r="A15" s="4" t="s">
        <v>800</v>
      </c>
      <c r="B15" s="5"/>
      <c r="C15" s="5"/>
      <c r="D15" s="5"/>
      <c r="E15" s="5"/>
    </row>
    <row r="16" customFormat="false" ht="18" hidden="false" customHeight="true" outlineLevel="0" collapsed="false">
      <c r="B16" s="26" t="s">
        <v>755</v>
      </c>
      <c r="C16" s="34" t="n">
        <f aca="false">DASHBOARD!$C$19</f>
        <v>0</v>
      </c>
    </row>
    <row r="17" customFormat="false" ht="18" hidden="false" customHeight="true" outlineLevel="0" collapsed="false">
      <c r="B17" s="26" t="s">
        <v>756</v>
      </c>
      <c r="C17" s="34" t="n">
        <f aca="false">DASHBOARD!$C$20</f>
        <v>0</v>
      </c>
    </row>
    <row r="18" customFormat="false" ht="18" hidden="false" customHeight="true" outlineLevel="0" collapsed="false">
      <c r="B18" s="26" t="s">
        <v>757</v>
      </c>
      <c r="C18" s="34" t="str">
        <f aca="false">DASHBOARD!$C$21</f>
        <v>brak danych</v>
      </c>
    </row>
    <row r="19" customFormat="false" ht="18" hidden="false" customHeight="true" outlineLevel="0" collapsed="false">
      <c r="B19" s="26" t="s">
        <v>758</v>
      </c>
      <c r="C19" s="34" t="str">
        <f aca="false">DASHBOARD!$C$22</f>
        <v>brak danych</v>
      </c>
    </row>
    <row r="20" customFormat="false" ht="18" hidden="false" customHeight="true" outlineLevel="0" collapsed="false">
      <c r="B20" s="26" t="s">
        <v>801</v>
      </c>
      <c r="C20" s="64" t="str">
        <f aca="false">DASHBOARD!$C$24</f>
        <v>brak danych</v>
      </c>
      <c r="D20" s="64"/>
      <c r="E20" s="64"/>
    </row>
    <row r="21" customFormat="false" ht="18" hidden="false" customHeight="true" outlineLevel="0" collapsed="false">
      <c r="B21" s="36" t="s">
        <v>761</v>
      </c>
      <c r="C21" s="46" t="n">
        <f aca="false">DASHBOARD!$C$25</f>
        <v>0</v>
      </c>
    </row>
    <row r="23" customFormat="false" ht="19.5" hidden="false" customHeight="true" outlineLevel="0" collapsed="false">
      <c r="A23" s="4" t="s">
        <v>802</v>
      </c>
      <c r="B23" s="5"/>
      <c r="C23" s="5"/>
      <c r="D23" s="5"/>
      <c r="E23" s="5"/>
    </row>
    <row r="24" customFormat="false" ht="18" hidden="false" customHeight="true" outlineLevel="0" collapsed="false">
      <c r="B24" s="26" t="str">
        <f aca="false">DASHBOARD!$B$29</f>
        <v>Klient / prawo / cyber → gotówka</v>
      </c>
      <c r="C24" s="35" t="n">
        <f aca="false">DASHBOARD!$C$29</f>
        <v>0</v>
      </c>
      <c r="D24" s="70" t="str">
        <f aca="false">DASHBOARD!$D$29</f>
        <v>n/d</v>
      </c>
    </row>
    <row r="25" customFormat="false" ht="18" hidden="false" customHeight="true" outlineLevel="0" collapsed="false">
      <c r="B25" s="26" t="str">
        <f aca="false">DASHBOARD!$B$30</f>
        <v>Dane i odtwarzanie (karta) → gotówka</v>
      </c>
      <c r="C25" s="35" t="n">
        <f aca="false">DASHBOARD!$C$30</f>
        <v>0</v>
      </c>
      <c r="D25" s="70" t="str">
        <f aca="false">DASHBOARD!$D$30</f>
        <v>n/d</v>
      </c>
    </row>
    <row r="26" customFormat="false" ht="18" hidden="false" customHeight="true" outlineLevel="0" collapsed="false">
      <c r="B26" s="26" t="str">
        <f aca="false">DASHBOARD!$B$31</f>
        <v>K11 Inne koszty</v>
      </c>
      <c r="C26" s="35" t="n">
        <f aca="false">DASHBOARD!$C$31</f>
        <v>0</v>
      </c>
      <c r="D26" s="70" t="str">
        <f aca="false">DASHBOARD!$D$31</f>
        <v>n/d</v>
      </c>
    </row>
    <row r="27" customFormat="false" ht="18" hidden="false" customHeight="true" outlineLevel="0" collapsed="false">
      <c r="B27" s="26" t="str">
        <f aca="false">DASHBOARD!$B$32</f>
        <v>K10 Cyber, naruszenie danych, fraud</v>
      </c>
      <c r="C27" s="35" t="n">
        <f aca="false">DASHBOARD!$C$32</f>
        <v>0</v>
      </c>
      <c r="D27" s="70" t="str">
        <f aca="false">DASHBOARD!$D$32</f>
        <v>n/d</v>
      </c>
    </row>
    <row r="28" customFormat="false" ht="18" hidden="false" customHeight="true" outlineLevel="0" collapsed="false">
      <c r="B28" s="26" t="str">
        <f aca="false">DASHBOARD!$B$33</f>
        <v>K9 Klienci, kontrakty, komunikacja</v>
      </c>
      <c r="C28" s="35" t="n">
        <f aca="false">DASHBOARD!$C$33</f>
        <v>0</v>
      </c>
      <c r="D28" s="70" t="str">
        <f aca="false">DASHBOARD!$D$33</f>
        <v>n/d</v>
      </c>
    </row>
    <row r="30" customFormat="false" ht="19.5" hidden="false" customHeight="true" outlineLevel="0" collapsed="false">
      <c r="A30" s="4" t="s">
        <v>803</v>
      </c>
      <c r="B30" s="5"/>
      <c r="C30" s="5"/>
      <c r="D30" s="5"/>
      <c r="E30" s="5"/>
    </row>
    <row r="31" customFormat="false" ht="18" hidden="false" customHeight="true" outlineLevel="0" collapsed="false">
      <c r="B31" s="26" t="s">
        <v>774</v>
      </c>
      <c r="C31" s="68" t="n">
        <f aca="false">DASHBOARD!$C$57</f>
        <v>0</v>
      </c>
    </row>
    <row r="32" customFormat="false" ht="18" hidden="false" customHeight="true" outlineLevel="0" collapsed="false">
      <c r="B32" s="26" t="s">
        <v>804</v>
      </c>
      <c r="C32" s="68" t="n">
        <f aca="false">DASHBOARD!$C$58</f>
        <v>0</v>
      </c>
    </row>
    <row r="33" customFormat="false" ht="18" hidden="false" customHeight="true" outlineLevel="0" collapsed="false">
      <c r="B33" s="26" t="s">
        <v>805</v>
      </c>
      <c r="C33" s="68" t="n">
        <f aca="false">DASHBOARD!$C$60</f>
        <v>0</v>
      </c>
    </row>
    <row r="34" customFormat="false" ht="15" hidden="false" customHeight="false" outlineLevel="0" collapsed="false">
      <c r="B34" s="36" t="s">
        <v>806</v>
      </c>
      <c r="C34" s="71" t="str">
        <f aca="false">DASHBOARD!$C$61</f>
        <v>Niska</v>
      </c>
    </row>
    <row r="36" customFormat="false" ht="19.5" hidden="false" customHeight="true" outlineLevel="0" collapsed="false">
      <c r="A36" s="4" t="s">
        <v>807</v>
      </c>
      <c r="B36" s="5"/>
      <c r="C36" s="5"/>
      <c r="D36" s="5"/>
      <c r="E36" s="5"/>
    </row>
    <row r="37" customFormat="false" ht="18" hidden="false" customHeight="true" outlineLevel="0" collapsed="false">
      <c r="B37" s="26" t="s">
        <v>808</v>
      </c>
      <c r="C37" s="42" t="str">
        <f aca="false">IF('RYZYKO I ROI'!$D$20="","(nie podano)",'RYZYKO I ROI'!$D$20)</f>
        <v>(nie podano)</v>
      </c>
    </row>
    <row r="38" customFormat="false" ht="18" hidden="false" customHeight="true" outlineLevel="0" collapsed="false">
      <c r="B38" s="26" t="s">
        <v>809</v>
      </c>
      <c r="C38" s="35" t="n">
        <f aca="false">'RYZYKO I ROI'!$D$24</f>
        <v>0</v>
      </c>
    </row>
    <row r="39" customFormat="false" ht="18" hidden="false" customHeight="true" outlineLevel="0" collapsed="false">
      <c r="B39" s="26" t="s">
        <v>810</v>
      </c>
      <c r="C39" s="35" t="n">
        <f aca="false">'RYZYKO I ROI'!$D$21</f>
        <v>0</v>
      </c>
    </row>
    <row r="40" customFormat="false" ht="18" hidden="false" customHeight="true" outlineLevel="0" collapsed="false">
      <c r="B40" s="26" t="s">
        <v>711</v>
      </c>
      <c r="C40" s="35" t="n">
        <f aca="false">'RYZYKO I ROI'!$D$22</f>
        <v>0</v>
      </c>
    </row>
    <row r="41" customFormat="false" ht="18" hidden="false" customHeight="true" outlineLevel="0" collapsed="false">
      <c r="B41" s="26" t="s">
        <v>811</v>
      </c>
      <c r="C41" s="35" t="n">
        <f aca="false">'RYZYKO I ROI'!$D$26</f>
        <v>0</v>
      </c>
    </row>
    <row r="42" customFormat="false" ht="18" hidden="false" customHeight="true" outlineLevel="0" collapsed="false">
      <c r="B42" s="26" t="s">
        <v>812</v>
      </c>
      <c r="C42" s="70" t="str">
        <f aca="false">'RYZYKO I ROI'!$D$29</f>
        <v>nie dotyczy — brak kosztu utrzymania</v>
      </c>
    </row>
    <row r="43" customFormat="false" ht="18" hidden="false" customHeight="true" outlineLevel="0" collapsed="false">
      <c r="B43" s="26" t="s">
        <v>813</v>
      </c>
      <c r="C43" s="42" t="str">
        <f aca="false">'RYZYKO I ROI'!$D$30</f>
        <v>nie zwraca się w tym modelu</v>
      </c>
    </row>
    <row r="44" customFormat="false" ht="30" hidden="false" customHeight="true" outlineLevel="0" collapsed="false">
      <c r="B44" s="26" t="s">
        <v>814</v>
      </c>
      <c r="C44" s="64" t="str">
        <f aca="false">'RYZYKO I ROI'!$D$31</f>
        <v>Brak danych — uzupełnij częstotliwość i koszt zdarzenia.</v>
      </c>
      <c r="D44" s="64"/>
      <c r="E44" s="64"/>
    </row>
    <row r="46" customFormat="false" ht="52.5" hidden="false" customHeight="true" outlineLevel="0" collapsed="false">
      <c r="B46" s="12" t="s">
        <v>56</v>
      </c>
      <c r="C46" s="12"/>
      <c r="D46" s="12"/>
      <c r="E46" s="12"/>
    </row>
    <row r="48" customFormat="false" ht="15" hidden="false" customHeight="false" outlineLevel="0" collapsed="false">
      <c r="B48" s="74" t="s">
        <v>815</v>
      </c>
      <c r="C48" s="18"/>
      <c r="D48" s="18"/>
      <c r="E48" s="18"/>
    </row>
    <row r="49" customFormat="false" ht="15" hidden="false" customHeight="false" outlineLevel="0" collapsed="false">
      <c r="B49" s="20" t="s">
        <v>59</v>
      </c>
      <c r="C49" s="18"/>
      <c r="D49" s="18"/>
      <c r="E49" s="18"/>
    </row>
  </sheetData>
  <mergeCells count="3">
    <mergeCell ref="C20:E20"/>
    <mergeCell ref="C44:E44"/>
    <mergeCell ref="B46:E46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false"/>
  </sheetPr>
  <dimension ref="A1:D6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3" min="3" style="0" width="76"/>
    <col collapsed="false" customWidth="true" hidden="false" outlineLevel="0" max="4" min="4" style="0" width="46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816</v>
      </c>
      <c r="B2" s="22"/>
      <c r="C2" s="22"/>
      <c r="D2" s="22"/>
    </row>
    <row r="3" customFormat="false" ht="16.5" hidden="false" customHeight="true" outlineLevel="0" collapsed="false">
      <c r="A3" s="23" t="s">
        <v>817</v>
      </c>
      <c r="B3" s="23"/>
      <c r="C3" s="23"/>
      <c r="D3" s="23"/>
    </row>
    <row r="5" customFormat="false" ht="19.5" hidden="false" customHeight="true" outlineLevel="0" collapsed="false">
      <c r="A5" s="4" t="s">
        <v>818</v>
      </c>
      <c r="B5" s="5"/>
      <c r="C5" s="5"/>
      <c r="D5" s="5"/>
    </row>
    <row r="6" customFormat="false" ht="19.5" hidden="false" customHeight="true" outlineLevel="0" collapsed="false">
      <c r="A6" s="24"/>
      <c r="B6" s="24" t="s">
        <v>819</v>
      </c>
      <c r="C6" s="24" t="s">
        <v>820</v>
      </c>
      <c r="D6" s="24"/>
    </row>
    <row r="7" customFormat="false" ht="30" hidden="false" customHeight="true" outlineLevel="0" collapsed="false">
      <c r="B7" s="36" t="s">
        <v>821</v>
      </c>
      <c r="C7" s="75" t="s">
        <v>822</v>
      </c>
    </row>
    <row r="8" customFormat="false" ht="30" hidden="false" customHeight="true" outlineLevel="0" collapsed="false">
      <c r="B8" s="36" t="s">
        <v>823</v>
      </c>
      <c r="C8" s="75" t="s">
        <v>824</v>
      </c>
    </row>
    <row r="9" customFormat="false" ht="30" hidden="false" customHeight="true" outlineLevel="0" collapsed="false">
      <c r="B9" s="36" t="s">
        <v>825</v>
      </c>
      <c r="C9" s="75" t="s">
        <v>826</v>
      </c>
    </row>
    <row r="10" customFormat="false" ht="30" hidden="false" customHeight="true" outlineLevel="0" collapsed="false">
      <c r="B10" s="36" t="s">
        <v>827</v>
      </c>
      <c r="C10" s="75" t="s">
        <v>828</v>
      </c>
    </row>
    <row r="11" customFormat="false" ht="30" hidden="false" customHeight="true" outlineLevel="0" collapsed="false">
      <c r="B11" s="36" t="s">
        <v>99</v>
      </c>
      <c r="C11" s="75" t="s">
        <v>829</v>
      </c>
    </row>
    <row r="12" customFormat="false" ht="30" hidden="false" customHeight="true" outlineLevel="0" collapsed="false">
      <c r="B12" s="36" t="s">
        <v>114</v>
      </c>
      <c r="C12" s="75" t="s">
        <v>830</v>
      </c>
    </row>
    <row r="13" customFormat="false" ht="30" hidden="false" customHeight="true" outlineLevel="0" collapsed="false">
      <c r="B13" s="36" t="s">
        <v>122</v>
      </c>
      <c r="C13" s="75" t="s">
        <v>831</v>
      </c>
    </row>
    <row r="14" customFormat="false" ht="30" hidden="false" customHeight="true" outlineLevel="0" collapsed="false">
      <c r="B14" s="36" t="s">
        <v>832</v>
      </c>
      <c r="C14" s="75" t="s">
        <v>833</v>
      </c>
    </row>
    <row r="15" customFormat="false" ht="30" hidden="false" customHeight="true" outlineLevel="0" collapsed="false">
      <c r="B15" s="36" t="s">
        <v>834</v>
      </c>
      <c r="C15" s="75" t="s">
        <v>835</v>
      </c>
    </row>
    <row r="16" customFormat="false" ht="30" hidden="false" customHeight="true" outlineLevel="0" collapsed="false">
      <c r="B16" s="36" t="s">
        <v>836</v>
      </c>
      <c r="C16" s="75" t="s">
        <v>837</v>
      </c>
    </row>
    <row r="17" customFormat="false" ht="30" hidden="false" customHeight="true" outlineLevel="0" collapsed="false">
      <c r="B17" s="36" t="s">
        <v>838</v>
      </c>
      <c r="C17" s="75" t="s">
        <v>839</v>
      </c>
    </row>
    <row r="18" customFormat="false" ht="30" hidden="false" customHeight="true" outlineLevel="0" collapsed="false">
      <c r="B18" s="36" t="s">
        <v>840</v>
      </c>
      <c r="C18" s="75" t="s">
        <v>841</v>
      </c>
    </row>
    <row r="19" customFormat="false" ht="30" hidden="false" customHeight="true" outlineLevel="0" collapsed="false">
      <c r="B19" s="36" t="s">
        <v>409</v>
      </c>
      <c r="C19" s="75" t="s">
        <v>842</v>
      </c>
    </row>
    <row r="20" customFormat="false" ht="30" hidden="false" customHeight="true" outlineLevel="0" collapsed="false">
      <c r="B20" s="36" t="s">
        <v>843</v>
      </c>
      <c r="C20" s="75" t="s">
        <v>844</v>
      </c>
    </row>
    <row r="23" customFormat="false" ht="19.5" hidden="false" customHeight="true" outlineLevel="0" collapsed="false">
      <c r="A23" s="4" t="s">
        <v>845</v>
      </c>
      <c r="B23" s="5"/>
      <c r="C23" s="5"/>
      <c r="D23" s="5"/>
    </row>
    <row r="24" customFormat="false" ht="19.5" hidden="false" customHeight="true" outlineLevel="0" collapsed="false">
      <c r="A24" s="24"/>
      <c r="B24" s="24" t="s">
        <v>846</v>
      </c>
      <c r="C24" s="24" t="s">
        <v>847</v>
      </c>
      <c r="D24" s="24" t="s">
        <v>848</v>
      </c>
    </row>
    <row r="25" customFormat="false" ht="30" hidden="false" customHeight="true" outlineLevel="0" collapsed="false">
      <c r="B25" s="36" t="s">
        <v>849</v>
      </c>
      <c r="C25" s="75" t="s">
        <v>850</v>
      </c>
      <c r="D25" s="75" t="s">
        <v>851</v>
      </c>
    </row>
    <row r="26" customFormat="false" ht="30" hidden="false" customHeight="true" outlineLevel="0" collapsed="false">
      <c r="B26" s="36" t="s">
        <v>852</v>
      </c>
      <c r="C26" s="75" t="s">
        <v>853</v>
      </c>
      <c r="D26" s="75" t="s">
        <v>854</v>
      </c>
    </row>
    <row r="27" customFormat="false" ht="30" hidden="false" customHeight="true" outlineLevel="0" collapsed="false">
      <c r="B27" s="36" t="s">
        <v>855</v>
      </c>
      <c r="C27" s="75" t="s">
        <v>856</v>
      </c>
      <c r="D27" s="75" t="s">
        <v>857</v>
      </c>
    </row>
    <row r="28" customFormat="false" ht="30" hidden="false" customHeight="true" outlineLevel="0" collapsed="false">
      <c r="B28" s="36" t="s">
        <v>858</v>
      </c>
      <c r="C28" s="75" t="s">
        <v>859</v>
      </c>
      <c r="D28" s="75" t="s">
        <v>860</v>
      </c>
    </row>
    <row r="29" customFormat="false" ht="30" hidden="false" customHeight="true" outlineLevel="0" collapsed="false">
      <c r="B29" s="36" t="s">
        <v>122</v>
      </c>
      <c r="C29" s="75" t="s">
        <v>861</v>
      </c>
      <c r="D29" s="75" t="s">
        <v>862</v>
      </c>
    </row>
    <row r="30" customFormat="false" ht="30" hidden="false" customHeight="true" outlineLevel="0" collapsed="false">
      <c r="B30" s="36" t="s">
        <v>863</v>
      </c>
      <c r="C30" s="75" t="s">
        <v>864</v>
      </c>
      <c r="D30" s="75" t="s">
        <v>865</v>
      </c>
    </row>
    <row r="31" customFormat="false" ht="30" hidden="false" customHeight="true" outlineLevel="0" collapsed="false">
      <c r="B31" s="36" t="s">
        <v>866</v>
      </c>
      <c r="C31" s="75" t="s">
        <v>867</v>
      </c>
      <c r="D31" s="75" t="s">
        <v>868</v>
      </c>
    </row>
    <row r="32" customFormat="false" ht="30" hidden="false" customHeight="true" outlineLevel="0" collapsed="false">
      <c r="B32" s="36" t="s">
        <v>869</v>
      </c>
      <c r="C32" s="75" t="s">
        <v>870</v>
      </c>
      <c r="D32" s="75" t="s">
        <v>871</v>
      </c>
    </row>
    <row r="33" customFormat="false" ht="30" hidden="false" customHeight="true" outlineLevel="0" collapsed="false">
      <c r="B33" s="36" t="s">
        <v>834</v>
      </c>
      <c r="C33" s="75" t="s">
        <v>872</v>
      </c>
      <c r="D33" s="75" t="s">
        <v>873</v>
      </c>
    </row>
    <row r="34" customFormat="false" ht="30" hidden="false" customHeight="true" outlineLevel="0" collapsed="false">
      <c r="B34" s="36" t="s">
        <v>838</v>
      </c>
      <c r="C34" s="75" t="s">
        <v>874</v>
      </c>
      <c r="D34" s="75" t="s">
        <v>875</v>
      </c>
    </row>
    <row r="35" customFormat="false" ht="30" hidden="false" customHeight="true" outlineLevel="0" collapsed="false">
      <c r="B35" s="36" t="s">
        <v>876</v>
      </c>
      <c r="C35" s="75" t="s">
        <v>877</v>
      </c>
      <c r="D35" s="75" t="s">
        <v>878</v>
      </c>
    </row>
    <row r="36" customFormat="false" ht="30" hidden="false" customHeight="true" outlineLevel="0" collapsed="false">
      <c r="B36" s="36" t="s">
        <v>879</v>
      </c>
      <c r="C36" s="75" t="s">
        <v>880</v>
      </c>
      <c r="D36" s="75" t="s">
        <v>881</v>
      </c>
    </row>
    <row r="37" customFormat="false" ht="30" hidden="false" customHeight="true" outlineLevel="0" collapsed="false">
      <c r="B37" s="36" t="s">
        <v>811</v>
      </c>
      <c r="C37" s="75" t="s">
        <v>882</v>
      </c>
      <c r="D37" s="75" t="s">
        <v>883</v>
      </c>
    </row>
    <row r="38" customFormat="false" ht="30" hidden="false" customHeight="true" outlineLevel="0" collapsed="false">
      <c r="B38" s="36" t="s">
        <v>884</v>
      </c>
      <c r="C38" s="75" t="s">
        <v>885</v>
      </c>
      <c r="D38" s="75" t="s">
        <v>886</v>
      </c>
    </row>
    <row r="39" customFormat="false" ht="30" hidden="false" customHeight="true" outlineLevel="0" collapsed="false">
      <c r="B39" s="36" t="s">
        <v>887</v>
      </c>
      <c r="C39" s="75" t="s">
        <v>888</v>
      </c>
      <c r="D39" s="75" t="s">
        <v>889</v>
      </c>
    </row>
    <row r="40" customFormat="false" ht="30" hidden="false" customHeight="true" outlineLevel="0" collapsed="false">
      <c r="B40" s="36" t="s">
        <v>812</v>
      </c>
      <c r="C40" s="75" t="s">
        <v>890</v>
      </c>
      <c r="D40" s="75" t="s">
        <v>891</v>
      </c>
    </row>
    <row r="41" customFormat="false" ht="30" hidden="false" customHeight="true" outlineLevel="0" collapsed="false">
      <c r="B41" s="36" t="s">
        <v>722</v>
      </c>
      <c r="C41" s="75" t="s">
        <v>892</v>
      </c>
      <c r="D41" s="75" t="s">
        <v>893</v>
      </c>
    </row>
    <row r="42" customFormat="false" ht="30" hidden="false" customHeight="true" outlineLevel="0" collapsed="false">
      <c r="B42" s="36" t="s">
        <v>894</v>
      </c>
      <c r="C42" s="75" t="s">
        <v>895</v>
      </c>
      <c r="D42" s="75" t="s">
        <v>896</v>
      </c>
    </row>
    <row r="43" customFormat="false" ht="30" hidden="false" customHeight="true" outlineLevel="0" collapsed="false">
      <c r="B43" s="36" t="s">
        <v>897</v>
      </c>
      <c r="C43" s="75" t="s">
        <v>898</v>
      </c>
      <c r="D43" s="75" t="s">
        <v>899</v>
      </c>
    </row>
    <row r="46" customFormat="false" ht="19.5" hidden="false" customHeight="true" outlineLevel="0" collapsed="false">
      <c r="A46" s="4" t="s">
        <v>900</v>
      </c>
      <c r="B46" s="5"/>
      <c r="C46" s="5"/>
      <c r="D46" s="5"/>
    </row>
    <row r="47" customFormat="false" ht="16.5" hidden="false" customHeight="true" outlineLevel="0" collapsed="false">
      <c r="B47" s="47" t="s">
        <v>901</v>
      </c>
      <c r="C47" s="47"/>
    </row>
    <row r="48" customFormat="false" ht="16.5" hidden="false" customHeight="true" outlineLevel="0" collapsed="false">
      <c r="B48" s="47" t="s">
        <v>902</v>
      </c>
      <c r="C48" s="47"/>
    </row>
    <row r="49" customFormat="false" ht="16.5" hidden="false" customHeight="true" outlineLevel="0" collapsed="false">
      <c r="B49" s="47" t="s">
        <v>903</v>
      </c>
      <c r="C49" s="47"/>
    </row>
    <row r="50" customFormat="false" ht="16.5" hidden="false" customHeight="true" outlineLevel="0" collapsed="false">
      <c r="B50" s="47" t="s">
        <v>904</v>
      </c>
      <c r="C50" s="47"/>
    </row>
    <row r="51" customFormat="false" ht="16.5" hidden="false" customHeight="true" outlineLevel="0" collapsed="false">
      <c r="B51" s="47" t="s">
        <v>905</v>
      </c>
      <c r="C51" s="47"/>
    </row>
    <row r="52" customFormat="false" ht="30" hidden="false" customHeight="true" outlineLevel="0" collapsed="false">
      <c r="B52" s="47" t="s">
        <v>906</v>
      </c>
      <c r="C52" s="47"/>
    </row>
    <row r="53" customFormat="false" ht="16.5" hidden="false" customHeight="true" outlineLevel="0" collapsed="false">
      <c r="B53" s="47" t="s">
        <v>907</v>
      </c>
      <c r="C53" s="47"/>
    </row>
    <row r="54" customFormat="false" ht="16.5" hidden="false" customHeight="true" outlineLevel="0" collapsed="false">
      <c r="B54" s="47" t="s">
        <v>908</v>
      </c>
      <c r="C54" s="47"/>
    </row>
    <row r="55" customFormat="false" ht="16.5" hidden="false" customHeight="true" outlineLevel="0" collapsed="false">
      <c r="B55" s="47" t="s">
        <v>909</v>
      </c>
      <c r="C55" s="47"/>
    </row>
    <row r="56" customFormat="false" ht="16.5" hidden="false" customHeight="true" outlineLevel="0" collapsed="false">
      <c r="B56" s="47" t="s">
        <v>910</v>
      </c>
      <c r="C56" s="47"/>
    </row>
    <row r="57" customFormat="false" ht="16.5" hidden="false" customHeight="true" outlineLevel="0" collapsed="false">
      <c r="B57" s="47" t="s">
        <v>911</v>
      </c>
      <c r="C57" s="47"/>
    </row>
    <row r="58" customFormat="false" ht="16.5" hidden="false" customHeight="true" outlineLevel="0" collapsed="false">
      <c r="B58" s="47" t="s">
        <v>912</v>
      </c>
      <c r="C58" s="47"/>
    </row>
    <row r="61" customFormat="false" ht="19.5" hidden="false" customHeight="true" outlineLevel="0" collapsed="false">
      <c r="A61" s="4" t="s">
        <v>913</v>
      </c>
      <c r="B61" s="5"/>
      <c r="C61" s="5"/>
      <c r="D61" s="5"/>
    </row>
    <row r="62" customFormat="false" ht="30" hidden="false" customHeight="true" outlineLevel="0" collapsed="false">
      <c r="B62" s="47" t="s">
        <v>914</v>
      </c>
      <c r="C62" s="47"/>
    </row>
    <row r="63" customFormat="false" ht="30" hidden="false" customHeight="true" outlineLevel="0" collapsed="false">
      <c r="B63" s="47" t="s">
        <v>915</v>
      </c>
      <c r="C63" s="47"/>
    </row>
    <row r="64" customFormat="false" ht="16.5" hidden="false" customHeight="true" outlineLevel="0" collapsed="false">
      <c r="B64" s="47" t="s">
        <v>916</v>
      </c>
      <c r="C64" s="47"/>
    </row>
    <row r="65" customFormat="false" ht="30" hidden="false" customHeight="true" outlineLevel="0" collapsed="false">
      <c r="B65" s="47" t="s">
        <v>917</v>
      </c>
      <c r="C65" s="47"/>
    </row>
    <row r="66" customFormat="false" ht="30" hidden="false" customHeight="true" outlineLevel="0" collapsed="false">
      <c r="B66" s="47" t="s">
        <v>918</v>
      </c>
      <c r="C66" s="47"/>
    </row>
  </sheetData>
  <mergeCells count="19">
    <mergeCell ref="A2:D2"/>
    <mergeCell ref="A3:D3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62:C62"/>
    <mergeCell ref="B63:C63"/>
    <mergeCell ref="B64:C64"/>
    <mergeCell ref="B65:C65"/>
    <mergeCell ref="B66:C6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false"/>
  </sheetPr>
  <dimension ref="A1:G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"/>
    <col collapsed="false" customWidth="true" hidden="false" outlineLevel="0" max="3" min="3" style="0" width="30"/>
    <col collapsed="false" customWidth="true" hidden="false" outlineLevel="0" max="4" min="4" style="0" width="46"/>
    <col collapsed="false" customWidth="true" hidden="false" outlineLevel="0" max="5" min="5" style="0" width="28"/>
    <col collapsed="false" customWidth="true" hidden="false" outlineLevel="0" max="6" min="6" style="0" width="56"/>
    <col collapsed="false" customWidth="true" hidden="false" outlineLevel="0" max="7" min="7" style="0" width="12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919</v>
      </c>
      <c r="B2" s="22"/>
      <c r="C2" s="22"/>
      <c r="D2" s="22"/>
      <c r="E2" s="22"/>
      <c r="F2" s="22"/>
      <c r="G2" s="22"/>
    </row>
    <row r="3" customFormat="false" ht="16.5" hidden="false" customHeight="true" outlineLevel="0" collapsed="false">
      <c r="A3" s="23" t="s">
        <v>920</v>
      </c>
      <c r="B3" s="23"/>
      <c r="C3" s="23"/>
      <c r="D3" s="23"/>
      <c r="E3" s="23"/>
      <c r="F3" s="23"/>
      <c r="G3" s="23"/>
    </row>
    <row r="5" customFormat="false" ht="16.5" hidden="false" customHeight="true" outlineLevel="0" collapsed="false">
      <c r="B5" s="44" t="s">
        <v>921</v>
      </c>
      <c r="C5" s="44"/>
      <c r="D5" s="44"/>
      <c r="E5" s="44"/>
      <c r="F5" s="44"/>
    </row>
    <row r="7" customFormat="false" ht="19.5" hidden="false" customHeight="true" outlineLevel="0" collapsed="false">
      <c r="A7" s="4" t="s">
        <v>922</v>
      </c>
      <c r="B7" s="5"/>
      <c r="C7" s="5"/>
      <c r="D7" s="5"/>
      <c r="E7" s="5"/>
      <c r="F7" s="5"/>
      <c r="G7" s="5"/>
    </row>
    <row r="8" customFormat="false" ht="24" hidden="false" customHeight="true" outlineLevel="0" collapsed="false">
      <c r="A8" s="24"/>
      <c r="B8" s="24" t="s">
        <v>64</v>
      </c>
      <c r="C8" s="24" t="s">
        <v>923</v>
      </c>
      <c r="D8" s="24" t="s">
        <v>924</v>
      </c>
      <c r="E8" s="24" t="s">
        <v>925</v>
      </c>
      <c r="F8" s="24" t="s">
        <v>926</v>
      </c>
      <c r="G8" s="24" t="s">
        <v>927</v>
      </c>
    </row>
    <row r="9" customFormat="false" ht="25.5" hidden="false" customHeight="true" outlineLevel="0" collapsed="false">
      <c r="B9" s="36" t="s">
        <v>928</v>
      </c>
      <c r="C9" s="75" t="s">
        <v>929</v>
      </c>
      <c r="D9" s="75" t="s">
        <v>930</v>
      </c>
      <c r="E9" s="75" t="s">
        <v>931</v>
      </c>
      <c r="F9" s="75" t="s">
        <v>932</v>
      </c>
      <c r="G9" s="76" t="s">
        <v>933</v>
      </c>
    </row>
    <row r="10" customFormat="false" ht="25.5" hidden="false" customHeight="true" outlineLevel="0" collapsed="false">
      <c r="B10" s="36" t="s">
        <v>934</v>
      </c>
      <c r="C10" s="75" t="s">
        <v>935</v>
      </c>
      <c r="D10" s="75" t="s">
        <v>936</v>
      </c>
      <c r="E10" s="75" t="s">
        <v>937</v>
      </c>
      <c r="F10" s="75" t="s">
        <v>938</v>
      </c>
      <c r="G10" s="76" t="s">
        <v>933</v>
      </c>
    </row>
    <row r="11" customFormat="false" ht="25.5" hidden="false" customHeight="true" outlineLevel="0" collapsed="false">
      <c r="B11" s="36" t="s">
        <v>939</v>
      </c>
      <c r="C11" s="75" t="s">
        <v>935</v>
      </c>
      <c r="D11" s="75" t="s">
        <v>940</v>
      </c>
      <c r="E11" s="75" t="s">
        <v>941</v>
      </c>
      <c r="F11" s="75" t="s">
        <v>942</v>
      </c>
      <c r="G11" s="76" t="s">
        <v>933</v>
      </c>
    </row>
    <row r="12" customFormat="false" ht="25.5" hidden="false" customHeight="true" outlineLevel="0" collapsed="false">
      <c r="B12" s="36" t="s">
        <v>943</v>
      </c>
      <c r="C12" s="75" t="s">
        <v>944</v>
      </c>
      <c r="D12" s="75" t="s">
        <v>945</v>
      </c>
      <c r="E12" s="75" t="s">
        <v>941</v>
      </c>
      <c r="F12" s="75" t="s">
        <v>946</v>
      </c>
      <c r="G12" s="76" t="s">
        <v>933</v>
      </c>
    </row>
    <row r="13" customFormat="false" ht="25.5" hidden="false" customHeight="true" outlineLevel="0" collapsed="false">
      <c r="B13" s="36" t="s">
        <v>947</v>
      </c>
      <c r="C13" s="75" t="s">
        <v>929</v>
      </c>
      <c r="D13" s="75" t="s">
        <v>948</v>
      </c>
      <c r="E13" s="75" t="s">
        <v>949</v>
      </c>
      <c r="F13" s="75" t="s">
        <v>950</v>
      </c>
      <c r="G13" s="76" t="s">
        <v>933</v>
      </c>
    </row>
    <row r="14" customFormat="false" ht="25.5" hidden="false" customHeight="true" outlineLevel="0" collapsed="false">
      <c r="B14" s="36" t="s">
        <v>951</v>
      </c>
      <c r="C14" s="75" t="s">
        <v>952</v>
      </c>
      <c r="D14" s="75" t="s">
        <v>953</v>
      </c>
      <c r="E14" s="75" t="s">
        <v>954</v>
      </c>
      <c r="F14" s="75" t="s">
        <v>955</v>
      </c>
      <c r="G14" s="76" t="s">
        <v>933</v>
      </c>
    </row>
    <row r="15" customFormat="false" ht="25.5" hidden="false" customHeight="true" outlineLevel="0" collapsed="false">
      <c r="B15" s="36" t="s">
        <v>956</v>
      </c>
      <c r="C15" s="75" t="s">
        <v>957</v>
      </c>
      <c r="D15" s="75" t="s">
        <v>958</v>
      </c>
      <c r="E15" s="75" t="s">
        <v>959</v>
      </c>
      <c r="F15" s="75" t="s">
        <v>960</v>
      </c>
      <c r="G15" s="76" t="s">
        <v>933</v>
      </c>
    </row>
    <row r="16" customFormat="false" ht="25.5" hidden="false" customHeight="true" outlineLevel="0" collapsed="false">
      <c r="B16" s="36" t="s">
        <v>961</v>
      </c>
      <c r="C16" s="75" t="s">
        <v>962</v>
      </c>
      <c r="D16" s="75" t="s">
        <v>963</v>
      </c>
      <c r="E16" s="75" t="s">
        <v>964</v>
      </c>
      <c r="F16" s="75" t="s">
        <v>965</v>
      </c>
      <c r="G16" s="76" t="s">
        <v>933</v>
      </c>
    </row>
    <row r="17" customFormat="false" ht="25.5" hidden="false" customHeight="true" outlineLevel="0" collapsed="false">
      <c r="B17" s="36" t="s">
        <v>966</v>
      </c>
      <c r="C17" s="75" t="s">
        <v>967</v>
      </c>
      <c r="D17" s="75" t="s">
        <v>968</v>
      </c>
      <c r="E17" s="75" t="s">
        <v>969</v>
      </c>
      <c r="F17" s="75" t="s">
        <v>970</v>
      </c>
      <c r="G17" s="76" t="s">
        <v>933</v>
      </c>
    </row>
    <row r="18" customFormat="false" ht="25.5" hidden="false" customHeight="true" outlineLevel="0" collapsed="false">
      <c r="B18" s="36" t="s">
        <v>971</v>
      </c>
      <c r="C18" s="75" t="s">
        <v>972</v>
      </c>
      <c r="D18" s="75" t="s">
        <v>973</v>
      </c>
      <c r="E18" s="75" t="s">
        <v>974</v>
      </c>
      <c r="F18" s="75" t="s">
        <v>975</v>
      </c>
      <c r="G18" s="76" t="s">
        <v>933</v>
      </c>
    </row>
    <row r="19" customFormat="false" ht="25.5" hidden="false" customHeight="true" outlineLevel="0" collapsed="false">
      <c r="B19" s="36" t="s">
        <v>976</v>
      </c>
      <c r="C19" s="75" t="s">
        <v>977</v>
      </c>
      <c r="D19" s="75" t="s">
        <v>978</v>
      </c>
      <c r="E19" s="75" t="s">
        <v>979</v>
      </c>
      <c r="F19" s="75" t="s">
        <v>980</v>
      </c>
      <c r="G19" s="76" t="s">
        <v>933</v>
      </c>
    </row>
    <row r="20" customFormat="false" ht="25.5" hidden="false" customHeight="true" outlineLevel="0" collapsed="false">
      <c r="B20" s="36" t="s">
        <v>981</v>
      </c>
      <c r="C20" s="75" t="s">
        <v>982</v>
      </c>
      <c r="D20" s="75" t="s">
        <v>983</v>
      </c>
      <c r="E20" s="75" t="s">
        <v>974</v>
      </c>
      <c r="F20" s="75" t="s">
        <v>984</v>
      </c>
      <c r="G20" s="76" t="s">
        <v>933</v>
      </c>
    </row>
    <row r="21" customFormat="false" ht="25.5" hidden="false" customHeight="true" outlineLevel="0" collapsed="false">
      <c r="B21" s="36" t="s">
        <v>985</v>
      </c>
      <c r="C21" s="75" t="s">
        <v>986</v>
      </c>
      <c r="D21" s="75" t="s">
        <v>987</v>
      </c>
      <c r="E21" s="75" t="s">
        <v>988</v>
      </c>
      <c r="F21" s="75" t="s">
        <v>989</v>
      </c>
      <c r="G21" s="76" t="s">
        <v>933</v>
      </c>
    </row>
    <row r="22" customFormat="false" ht="25.5" hidden="false" customHeight="true" outlineLevel="0" collapsed="false">
      <c r="B22" s="36" t="s">
        <v>990</v>
      </c>
      <c r="C22" s="75" t="s">
        <v>991</v>
      </c>
      <c r="D22" s="75" t="s">
        <v>992</v>
      </c>
      <c r="E22" s="75" t="s">
        <v>993</v>
      </c>
      <c r="F22" s="75" t="s">
        <v>994</v>
      </c>
      <c r="G22" s="76" t="s">
        <v>933</v>
      </c>
    </row>
    <row r="23" customFormat="false" ht="25.5" hidden="false" customHeight="true" outlineLevel="0" collapsed="false">
      <c r="B23" s="36" t="s">
        <v>995</v>
      </c>
      <c r="C23" s="75" t="s">
        <v>996</v>
      </c>
      <c r="D23" s="75" t="s">
        <v>997</v>
      </c>
      <c r="E23" s="75" t="s">
        <v>998</v>
      </c>
      <c r="F23" s="75" t="s">
        <v>999</v>
      </c>
      <c r="G23" s="77" t="s">
        <v>1000</v>
      </c>
    </row>
    <row r="24" customFormat="false" ht="25.5" hidden="false" customHeight="true" outlineLevel="0" collapsed="false">
      <c r="B24" s="36" t="s">
        <v>1001</v>
      </c>
      <c r="C24" s="75" t="s">
        <v>1002</v>
      </c>
      <c r="D24" s="75" t="s">
        <v>1003</v>
      </c>
      <c r="E24" s="75" t="s">
        <v>1004</v>
      </c>
      <c r="F24" s="75" t="s">
        <v>1005</v>
      </c>
      <c r="G24" s="78" t="s">
        <v>1006</v>
      </c>
    </row>
    <row r="25" customFormat="false" ht="25.5" hidden="false" customHeight="true" outlineLevel="0" collapsed="false">
      <c r="B25" s="36" t="s">
        <v>1007</v>
      </c>
      <c r="C25" s="75" t="s">
        <v>1008</v>
      </c>
      <c r="D25" s="75" t="s">
        <v>1009</v>
      </c>
      <c r="E25" s="75" t="s">
        <v>959</v>
      </c>
      <c r="F25" s="75" t="s">
        <v>1010</v>
      </c>
      <c r="G25" s="77" t="s">
        <v>1000</v>
      </c>
    </row>
    <row r="26" customFormat="false" ht="25.5" hidden="false" customHeight="true" outlineLevel="0" collapsed="false">
      <c r="B26" s="36" t="s">
        <v>1011</v>
      </c>
      <c r="C26" s="75" t="s">
        <v>1012</v>
      </c>
      <c r="D26" s="75" t="s">
        <v>1013</v>
      </c>
      <c r="E26" s="75" t="s">
        <v>959</v>
      </c>
      <c r="F26" s="75" t="s">
        <v>1014</v>
      </c>
      <c r="G26" s="76" t="s">
        <v>933</v>
      </c>
    </row>
    <row r="27" customFormat="false" ht="25.5" hidden="false" customHeight="true" outlineLevel="0" collapsed="false">
      <c r="B27" s="36" t="s">
        <v>1015</v>
      </c>
      <c r="C27" s="75" t="s">
        <v>1016</v>
      </c>
      <c r="D27" s="75" t="s">
        <v>1017</v>
      </c>
      <c r="E27" s="75" t="s">
        <v>959</v>
      </c>
      <c r="F27" s="75" t="s">
        <v>1018</v>
      </c>
      <c r="G27" s="76" t="s">
        <v>933</v>
      </c>
    </row>
    <row r="28" customFormat="false" ht="25.5" hidden="false" customHeight="true" outlineLevel="0" collapsed="false">
      <c r="B28" s="36" t="s">
        <v>1019</v>
      </c>
      <c r="C28" s="75" t="s">
        <v>1020</v>
      </c>
      <c r="D28" s="75" t="s">
        <v>1021</v>
      </c>
      <c r="E28" s="75" t="s">
        <v>1022</v>
      </c>
      <c r="F28" s="75" t="s">
        <v>1023</v>
      </c>
      <c r="G28" s="78" t="s">
        <v>1006</v>
      </c>
    </row>
    <row r="29" customFormat="false" ht="25.5" hidden="false" customHeight="true" outlineLevel="0" collapsed="false">
      <c r="B29" s="36" t="s">
        <v>1024</v>
      </c>
      <c r="C29" s="75" t="s">
        <v>1025</v>
      </c>
      <c r="D29" s="75" t="s">
        <v>1026</v>
      </c>
      <c r="E29" s="75" t="s">
        <v>1027</v>
      </c>
      <c r="F29" s="75" t="s">
        <v>1028</v>
      </c>
      <c r="G29" s="78" t="s">
        <v>1006</v>
      </c>
    </row>
    <row r="30" customFormat="false" ht="25.5" hidden="false" customHeight="true" outlineLevel="0" collapsed="false">
      <c r="B30" s="36" t="s">
        <v>1029</v>
      </c>
      <c r="C30" s="75" t="s">
        <v>60</v>
      </c>
      <c r="D30" s="75" t="s">
        <v>1030</v>
      </c>
      <c r="E30" s="75" t="s">
        <v>1031</v>
      </c>
      <c r="F30" s="75" t="s">
        <v>1032</v>
      </c>
      <c r="G30" s="76" t="s">
        <v>933</v>
      </c>
    </row>
    <row r="33" customFormat="false" ht="19.5" hidden="false" customHeight="true" outlineLevel="0" collapsed="false">
      <c r="A33" s="4" t="s">
        <v>1033</v>
      </c>
      <c r="B33" s="5"/>
      <c r="C33" s="5"/>
      <c r="D33" s="5"/>
      <c r="E33" s="5"/>
      <c r="F33" s="5"/>
      <c r="G33" s="5"/>
    </row>
    <row r="34" customFormat="false" ht="16.5" hidden="false" customHeight="true" outlineLevel="0" collapsed="false">
      <c r="B34" s="47" t="s">
        <v>1034</v>
      </c>
      <c r="C34" s="47"/>
      <c r="D34" s="47"/>
      <c r="E34" s="47"/>
      <c r="F34" s="47"/>
    </row>
    <row r="35" customFormat="false" ht="16.5" hidden="false" customHeight="true" outlineLevel="0" collapsed="false">
      <c r="B35" s="47" t="s">
        <v>1035</v>
      </c>
      <c r="C35" s="47"/>
      <c r="D35" s="47"/>
      <c r="E35" s="47"/>
      <c r="F35" s="47"/>
    </row>
    <row r="36" customFormat="false" ht="16.5" hidden="false" customHeight="true" outlineLevel="0" collapsed="false">
      <c r="B36" s="47" t="s">
        <v>1036</v>
      </c>
      <c r="C36" s="47"/>
      <c r="D36" s="47"/>
      <c r="E36" s="47"/>
      <c r="F36" s="47"/>
    </row>
    <row r="37" customFormat="false" ht="16.5" hidden="false" customHeight="true" outlineLevel="0" collapsed="false">
      <c r="B37" s="47" t="s">
        <v>1037</v>
      </c>
      <c r="C37" s="47"/>
      <c r="D37" s="47"/>
      <c r="E37" s="47"/>
      <c r="F37" s="47"/>
    </row>
    <row r="39" customFormat="false" ht="19.5" hidden="false" customHeight="true" outlineLevel="0" collapsed="false">
      <c r="A39" s="4" t="s">
        <v>1038</v>
      </c>
      <c r="B39" s="5"/>
      <c r="C39" s="5"/>
      <c r="D39" s="5"/>
      <c r="E39" s="5"/>
      <c r="F39" s="5"/>
      <c r="G39" s="5"/>
    </row>
    <row r="40" customFormat="false" ht="19.5" hidden="false" customHeight="true" outlineLevel="0" collapsed="false">
      <c r="A40" s="24"/>
      <c r="B40" s="24" t="s">
        <v>320</v>
      </c>
      <c r="C40" s="24" t="s">
        <v>1039</v>
      </c>
      <c r="D40" s="24" t="s">
        <v>1040</v>
      </c>
      <c r="E40" s="24" t="s">
        <v>1041</v>
      </c>
      <c r="F40" s="24" t="s">
        <v>1042</v>
      </c>
      <c r="G40" s="24" t="s">
        <v>408</v>
      </c>
    </row>
    <row r="41" customFormat="false" ht="19.5" hidden="false" customHeight="true" outlineLevel="0" collapsed="false">
      <c r="B41" s="26" t="n">
        <v>1</v>
      </c>
      <c r="C41" s="33"/>
      <c r="D41" s="33"/>
      <c r="E41" s="33"/>
      <c r="F41" s="33"/>
      <c r="G41" s="33"/>
    </row>
    <row r="42" customFormat="false" ht="19.5" hidden="false" customHeight="true" outlineLevel="0" collapsed="false">
      <c r="B42" s="26" t="n">
        <v>2</v>
      </c>
      <c r="C42" s="33"/>
      <c r="D42" s="33"/>
      <c r="E42" s="33"/>
      <c r="F42" s="33"/>
      <c r="G42" s="33"/>
    </row>
    <row r="43" customFormat="false" ht="19.5" hidden="false" customHeight="true" outlineLevel="0" collapsed="false">
      <c r="B43" s="26" t="n">
        <v>3</v>
      </c>
      <c r="C43" s="33"/>
      <c r="D43" s="33"/>
      <c r="E43" s="33"/>
      <c r="F43" s="33"/>
      <c r="G43" s="33"/>
    </row>
    <row r="44" customFormat="false" ht="19.5" hidden="false" customHeight="true" outlineLevel="0" collapsed="false">
      <c r="B44" s="26" t="n">
        <v>4</v>
      </c>
      <c r="C44" s="33"/>
      <c r="D44" s="33"/>
      <c r="E44" s="33"/>
      <c r="F44" s="33"/>
      <c r="G44" s="33"/>
    </row>
    <row r="45" customFormat="false" ht="19.5" hidden="false" customHeight="true" outlineLevel="0" collapsed="false">
      <c r="B45" s="26" t="n">
        <v>5</v>
      </c>
      <c r="C45" s="33"/>
      <c r="D45" s="33"/>
      <c r="E45" s="33"/>
      <c r="F45" s="33"/>
      <c r="G45" s="33"/>
    </row>
    <row r="46" customFormat="false" ht="19.5" hidden="false" customHeight="true" outlineLevel="0" collapsed="false">
      <c r="B46" s="26" t="n">
        <v>6</v>
      </c>
      <c r="C46" s="33"/>
      <c r="D46" s="33"/>
      <c r="E46" s="33"/>
      <c r="F46" s="33"/>
      <c r="G46" s="33"/>
    </row>
    <row r="47" customFormat="false" ht="19.5" hidden="false" customHeight="true" outlineLevel="0" collapsed="false">
      <c r="B47" s="26" t="n">
        <v>7</v>
      </c>
      <c r="C47" s="33"/>
      <c r="D47" s="33"/>
      <c r="E47" s="33"/>
      <c r="F47" s="33"/>
      <c r="G47" s="33"/>
    </row>
    <row r="48" customFormat="false" ht="19.5" hidden="false" customHeight="true" outlineLevel="0" collapsed="false">
      <c r="B48" s="26" t="n">
        <v>8</v>
      </c>
      <c r="C48" s="33"/>
      <c r="D48" s="33"/>
      <c r="E48" s="33"/>
      <c r="F48" s="33"/>
      <c r="G48" s="33"/>
    </row>
    <row r="49" customFormat="false" ht="19.5" hidden="false" customHeight="true" outlineLevel="0" collapsed="false">
      <c r="B49" s="26" t="n">
        <v>9</v>
      </c>
      <c r="C49" s="33"/>
      <c r="D49" s="33"/>
      <c r="E49" s="33"/>
      <c r="F49" s="33"/>
      <c r="G49" s="33"/>
    </row>
    <row r="50" customFormat="false" ht="19.5" hidden="false" customHeight="true" outlineLevel="0" collapsed="false">
      <c r="B50" s="26" t="n">
        <v>10</v>
      </c>
      <c r="C50" s="33"/>
      <c r="D50" s="33"/>
      <c r="E50" s="33"/>
      <c r="F50" s="33"/>
      <c r="G50" s="33"/>
    </row>
    <row r="51" customFormat="false" ht="19.5" hidden="false" customHeight="true" outlineLevel="0" collapsed="false">
      <c r="B51" s="26" t="n">
        <v>11</v>
      </c>
      <c r="C51" s="33"/>
      <c r="D51" s="33"/>
      <c r="E51" s="33"/>
      <c r="F51" s="33"/>
      <c r="G51" s="33"/>
    </row>
    <row r="52" customFormat="false" ht="19.5" hidden="false" customHeight="true" outlineLevel="0" collapsed="false">
      <c r="B52" s="26" t="n">
        <v>12</v>
      </c>
      <c r="C52" s="33"/>
      <c r="D52" s="33"/>
      <c r="E52" s="33"/>
      <c r="F52" s="33"/>
      <c r="G52" s="33"/>
    </row>
  </sheetData>
  <mergeCells count="7">
    <mergeCell ref="A2:G2"/>
    <mergeCell ref="A3:G3"/>
    <mergeCell ref="B5:F5"/>
    <mergeCell ref="B34:F34"/>
    <mergeCell ref="B35:F35"/>
    <mergeCell ref="B36:F36"/>
    <mergeCell ref="B37:F37"/>
  </mergeCells>
  <dataValidations count="1">
    <dataValidation allowBlank="true" error="Wybierz wartość z listy." errorStyle="stop" errorTitle="Wartość spoza listy" operator="between" showDropDown="false" showErrorMessage="false" showInputMessage="false" sqref="G41:G52" type="list">
      <formula1>'LISTY POMOCNICZE'!$H$8:$H$10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true"/>
  </sheetPr>
  <dimension ref="A1:F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5" min="3" style="0" width="18"/>
    <col collapsed="false" customWidth="true" hidden="false" outlineLevel="0" max="6" min="6" style="0" width="60"/>
  </cols>
  <sheetData>
    <row r="1" customFormat="false" ht="17.35" hidden="false" customHeight="false" outlineLevel="0" collapsed="false">
      <c r="A1" s="79" t="s">
        <v>1043</v>
      </c>
      <c r="B1" s="80"/>
      <c r="C1" s="80"/>
      <c r="D1" s="80"/>
      <c r="E1" s="80"/>
      <c r="F1" s="80"/>
    </row>
    <row r="2" customFormat="false" ht="30" hidden="false" customHeight="true" outlineLevel="0" collapsed="false">
      <c r="A2" s="81" t="s">
        <v>1044</v>
      </c>
      <c r="B2" s="81"/>
      <c r="C2" s="81"/>
      <c r="D2" s="81"/>
      <c r="E2" s="81"/>
      <c r="F2" s="81"/>
    </row>
    <row r="3" customFormat="false" ht="15" hidden="false" customHeight="false" outlineLevel="0" collapsed="false">
      <c r="A3" s="81"/>
      <c r="B3" s="81"/>
      <c r="C3" s="81"/>
      <c r="D3" s="81"/>
      <c r="E3" s="81"/>
      <c r="F3" s="81"/>
    </row>
    <row r="5" customFormat="false" ht="19.5" hidden="false" customHeight="true" outlineLevel="0" collapsed="false">
      <c r="A5" s="4" t="s">
        <v>1045</v>
      </c>
      <c r="B5" s="5"/>
      <c r="C5" s="5"/>
      <c r="D5" s="5"/>
      <c r="E5" s="5"/>
      <c r="F5" s="5"/>
    </row>
    <row r="6" customFormat="false" ht="16.5" hidden="false" customHeight="true" outlineLevel="0" collapsed="false">
      <c r="B6" s="47" t="s">
        <v>1046</v>
      </c>
      <c r="C6" s="47"/>
      <c r="D6" s="47"/>
      <c r="E6" s="47"/>
    </row>
    <row r="7" customFormat="false" ht="16.5" hidden="false" customHeight="true" outlineLevel="0" collapsed="false">
      <c r="B7" s="47" t="s">
        <v>1047</v>
      </c>
      <c r="C7" s="47"/>
      <c r="D7" s="47"/>
      <c r="E7" s="47"/>
    </row>
    <row r="8" customFormat="false" ht="30" hidden="false" customHeight="true" outlineLevel="0" collapsed="false">
      <c r="B8" s="47" t="s">
        <v>1048</v>
      </c>
      <c r="C8" s="47"/>
      <c r="D8" s="47"/>
      <c r="E8" s="47"/>
    </row>
    <row r="9" customFormat="false" ht="16.5" hidden="false" customHeight="true" outlineLevel="0" collapsed="false">
      <c r="B9" s="47" t="s">
        <v>1049</v>
      </c>
      <c r="C9" s="47"/>
      <c r="D9" s="47"/>
      <c r="E9" s="47"/>
    </row>
    <row r="10" customFormat="false" ht="16.5" hidden="false" customHeight="true" outlineLevel="0" collapsed="false">
      <c r="B10" s="47" t="s">
        <v>1050</v>
      </c>
      <c r="C10" s="47"/>
      <c r="D10" s="47"/>
      <c r="E10" s="47"/>
    </row>
    <row r="12" customFormat="false" ht="19.5" hidden="false" customHeight="true" outlineLevel="0" collapsed="false">
      <c r="A12" s="4" t="s">
        <v>1051</v>
      </c>
      <c r="B12" s="5"/>
      <c r="C12" s="5"/>
      <c r="D12" s="5"/>
      <c r="E12" s="5"/>
      <c r="F12" s="5"/>
    </row>
    <row r="13" customFormat="false" ht="19.5" hidden="false" customHeight="true" outlineLevel="0" collapsed="false">
      <c r="A13" s="24"/>
      <c r="B13" s="24" t="s">
        <v>763</v>
      </c>
      <c r="C13" s="24" t="s">
        <v>1052</v>
      </c>
      <c r="D13" s="24"/>
      <c r="E13" s="24"/>
      <c r="F13" s="24" t="s">
        <v>1053</v>
      </c>
    </row>
    <row r="14" customFormat="false" ht="27.75" hidden="false" customHeight="true" outlineLevel="0" collapsed="false">
      <c r="B14" s="26" t="s">
        <v>116</v>
      </c>
      <c r="C14" s="82" t="n">
        <v>20250</v>
      </c>
      <c r="F14" s="9" t="s">
        <v>1054</v>
      </c>
    </row>
    <row r="15" customFormat="false" ht="27.75" hidden="false" customHeight="true" outlineLevel="0" collapsed="false">
      <c r="B15" s="26" t="s">
        <v>1055</v>
      </c>
      <c r="C15" s="82" t="n">
        <v>4200</v>
      </c>
      <c r="F15" s="9" t="s">
        <v>1056</v>
      </c>
    </row>
    <row r="16" customFormat="false" ht="27.75" hidden="false" customHeight="true" outlineLevel="0" collapsed="false">
      <c r="B16" s="26" t="s">
        <v>1057</v>
      </c>
      <c r="C16" s="82" t="n">
        <v>3600</v>
      </c>
      <c r="F16" s="9" t="s">
        <v>1058</v>
      </c>
    </row>
    <row r="17" customFormat="false" ht="27.75" hidden="false" customHeight="true" outlineLevel="0" collapsed="false">
      <c r="B17" s="26" t="s">
        <v>1059</v>
      </c>
      <c r="C17" s="82" t="n">
        <v>5940</v>
      </c>
      <c r="F17" s="9" t="s">
        <v>1060</v>
      </c>
    </row>
    <row r="18" customFormat="false" ht="27.75" hidden="false" customHeight="true" outlineLevel="0" collapsed="false">
      <c r="B18" s="36" t="s">
        <v>120</v>
      </c>
      <c r="C18" s="37" t="n">
        <v>33990</v>
      </c>
      <c r="F18" s="9" t="s">
        <v>1061</v>
      </c>
    </row>
    <row r="19" customFormat="false" ht="27.75" hidden="false" customHeight="true" outlineLevel="0" collapsed="false">
      <c r="B19" s="26" t="s">
        <v>1062</v>
      </c>
      <c r="C19" s="82" t="n">
        <v>12960</v>
      </c>
      <c r="F19" s="9" t="s">
        <v>1063</v>
      </c>
    </row>
    <row r="20" customFormat="false" ht="27.75" hidden="false" customHeight="true" outlineLevel="0" collapsed="false">
      <c r="B20" s="26" t="s">
        <v>1064</v>
      </c>
      <c r="C20" s="82" t="n">
        <v>2500</v>
      </c>
      <c r="F20" s="9" t="s">
        <v>1065</v>
      </c>
    </row>
    <row r="21" customFormat="false" ht="27.75" hidden="false" customHeight="true" outlineLevel="0" collapsed="false">
      <c r="B21" s="26" t="s">
        <v>1066</v>
      </c>
      <c r="C21" s="82" t="n">
        <v>0</v>
      </c>
      <c r="F21" s="9" t="s">
        <v>1067</v>
      </c>
    </row>
    <row r="24" customFormat="false" ht="19.5" hidden="false" customHeight="true" outlineLevel="0" collapsed="false">
      <c r="A24" s="4" t="s">
        <v>1068</v>
      </c>
      <c r="B24" s="5"/>
      <c r="C24" s="5"/>
      <c r="D24" s="5"/>
      <c r="E24" s="5"/>
      <c r="F24" s="5"/>
    </row>
    <row r="25" customFormat="false" ht="30" hidden="false" customHeight="true" outlineLevel="0" collapsed="false">
      <c r="B25" s="47" t="s">
        <v>1069</v>
      </c>
      <c r="C25" s="47"/>
      <c r="D25" s="47"/>
      <c r="E25" s="47"/>
    </row>
    <row r="26" customFormat="false" ht="30" hidden="false" customHeight="true" outlineLevel="0" collapsed="false">
      <c r="B26" s="47" t="s">
        <v>1070</v>
      </c>
      <c r="C26" s="47"/>
      <c r="D26" s="47"/>
      <c r="E26" s="47"/>
    </row>
    <row r="27" customFormat="false" ht="30" hidden="false" customHeight="true" outlineLevel="0" collapsed="false">
      <c r="B27" s="47" t="s">
        <v>1071</v>
      </c>
      <c r="C27" s="47"/>
      <c r="D27" s="47"/>
      <c r="E27" s="47"/>
    </row>
    <row r="28" customFormat="false" ht="30" hidden="false" customHeight="true" outlineLevel="0" collapsed="false">
      <c r="B28" s="47" t="s">
        <v>1072</v>
      </c>
      <c r="C28" s="47"/>
      <c r="D28" s="47"/>
      <c r="E28" s="47"/>
    </row>
    <row r="29" customFormat="false" ht="16.5" hidden="false" customHeight="true" outlineLevel="0" collapsed="false">
      <c r="B29" s="47" t="s">
        <v>1073</v>
      </c>
      <c r="C29" s="47"/>
      <c r="D29" s="47"/>
      <c r="E29" s="47"/>
    </row>
    <row r="31" customFormat="false" ht="30" hidden="false" customHeight="true" outlineLevel="0" collapsed="false">
      <c r="B31" s="16" t="s">
        <v>1074</v>
      </c>
      <c r="C31" s="16"/>
      <c r="D31" s="16"/>
      <c r="E31" s="16"/>
    </row>
  </sheetData>
  <mergeCells count="12">
    <mergeCell ref="A2:F3"/>
    <mergeCell ref="B6:E6"/>
    <mergeCell ref="B7:E7"/>
    <mergeCell ref="B8:E8"/>
    <mergeCell ref="B9:E9"/>
    <mergeCell ref="B10:E10"/>
    <mergeCell ref="B25:E25"/>
    <mergeCell ref="B26:E26"/>
    <mergeCell ref="B27:E27"/>
    <mergeCell ref="B28:E28"/>
    <mergeCell ref="B29:E29"/>
    <mergeCell ref="B31:E31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true"/>
  </sheetPr>
  <dimension ref="A1:J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"/>
    <col collapsed="false" customWidth="true" hidden="false" outlineLevel="0" max="3" min="3" style="0" width="52"/>
    <col collapsed="false" customWidth="true" hidden="false" outlineLevel="0" max="4" min="4" style="0" width="14"/>
    <col collapsed="false" customWidth="true" hidden="false" outlineLevel="0" max="5" min="5" style="0" width="8"/>
    <col collapsed="false" customWidth="true" hidden="false" outlineLevel="0" max="6" min="6" style="0" width="16"/>
    <col collapsed="false" customWidth="true" hidden="false" outlineLevel="0" max="7" min="7" style="0" width="12"/>
    <col collapsed="false" customWidth="true" hidden="false" outlineLevel="0" max="8" min="8" style="0" width="66"/>
    <col collapsed="false" customWidth="true" hidden="false" outlineLevel="0" max="10" min="10" style="0" width="26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1075</v>
      </c>
      <c r="B2" s="22"/>
      <c r="C2" s="22"/>
      <c r="D2" s="22"/>
      <c r="E2" s="22"/>
      <c r="F2" s="22"/>
      <c r="G2" s="22"/>
      <c r="H2" s="22"/>
    </row>
    <row r="3" customFormat="false" ht="16.5" hidden="false" customHeight="true" outlineLevel="0" collapsed="false">
      <c r="A3" s="23" t="s">
        <v>1076</v>
      </c>
      <c r="B3" s="23"/>
      <c r="C3" s="23"/>
      <c r="D3" s="23"/>
      <c r="E3" s="23"/>
      <c r="F3" s="23"/>
      <c r="G3" s="23"/>
      <c r="H3" s="23"/>
    </row>
    <row r="5" customFormat="false" ht="19.5" hidden="false" customHeight="true" outlineLevel="0" collapsed="false">
      <c r="A5" s="4" t="s">
        <v>1077</v>
      </c>
      <c r="B5" s="5"/>
      <c r="C5" s="5"/>
      <c r="D5" s="5"/>
      <c r="E5" s="5"/>
      <c r="F5" s="5"/>
      <c r="G5" s="5"/>
      <c r="H5" s="5"/>
    </row>
    <row r="6" customFormat="false" ht="19.5" hidden="false" customHeight="true" outlineLevel="0" collapsed="false">
      <c r="A6" s="24"/>
      <c r="B6" s="24" t="s">
        <v>64</v>
      </c>
      <c r="C6" s="24" t="s">
        <v>1078</v>
      </c>
      <c r="D6" s="24" t="s">
        <v>1079</v>
      </c>
      <c r="E6" s="24" t="s">
        <v>66</v>
      </c>
      <c r="F6" s="24" t="s">
        <v>1080</v>
      </c>
      <c r="G6" s="24" t="s">
        <v>1081</v>
      </c>
      <c r="H6" s="24" t="s">
        <v>1082</v>
      </c>
      <c r="J6" s="83" t="s">
        <v>1083</v>
      </c>
    </row>
    <row r="7" customFormat="false" ht="25.5" hidden="false" customHeight="true" outlineLevel="0" collapsed="false">
      <c r="B7" s="36" t="s">
        <v>1084</v>
      </c>
      <c r="C7" s="26" t="s">
        <v>1085</v>
      </c>
      <c r="D7" s="84" t="n">
        <f aca="false">COUNTA('PROFIL FIRMY'!$D$9,'PROFIL FIRMY'!$D$10,'PROFIL FIRMY'!$D$11,'PROFIL FIRMY'!$D$12,'PROFIL FIRMY'!$D$14,'PROFIL FIRMY'!$D$16,'PROFIL FIRMY'!$D$18,'PROFIL FIRMY'!$D$24)</f>
        <v>0</v>
      </c>
      <c r="E7" s="85" t="s">
        <v>155</v>
      </c>
      <c r="F7" s="86" t="str">
        <f aca="false">"informacja"</f>
        <v>informacja</v>
      </c>
      <c r="G7" s="25" t="s">
        <v>93</v>
      </c>
      <c r="H7" s="75" t="s">
        <v>1086</v>
      </c>
      <c r="J7" s="87" t="n">
        <v>8</v>
      </c>
    </row>
    <row r="8" customFormat="false" ht="25.5" hidden="false" customHeight="true" outlineLevel="0" collapsed="false">
      <c r="B8" s="36" t="s">
        <v>1087</v>
      </c>
      <c r="C8" s="26" t="s">
        <v>1088</v>
      </c>
      <c r="D8" s="84" t="n">
        <f aca="false">SUMPRODUCT((PROCESY!$G$6:$G$17&lt;&gt;"")*(PROCESY!$G$6:$G$17&lt;&gt;"Nie dotyczy")*(PROCESY!$O$6:$O$17=0))</f>
        <v>0</v>
      </c>
      <c r="E8" s="85" t="s">
        <v>155</v>
      </c>
      <c r="F8" s="86" t="str">
        <f aca="false">IF($D8=0,"OK","UWAGA")</f>
        <v>OK</v>
      </c>
      <c r="G8" s="25" t="s">
        <v>1089</v>
      </c>
      <c r="H8" s="75" t="s">
        <v>1090</v>
      </c>
      <c r="J8" s="88" t="s">
        <v>1091</v>
      </c>
    </row>
    <row r="9" customFormat="false" ht="25.5" hidden="false" customHeight="true" outlineLevel="0" collapsed="false">
      <c r="B9" s="36" t="s">
        <v>1092</v>
      </c>
      <c r="C9" s="26" t="s">
        <v>1093</v>
      </c>
      <c r="D9" s="89" t="n">
        <f aca="false">IF($J$7=0,0,ROUND($D$7/$J$7,4))</f>
        <v>0</v>
      </c>
      <c r="E9" s="85" t="s">
        <v>85</v>
      </c>
      <c r="F9" s="86" t="str">
        <f aca="false">"informacja"</f>
        <v>informacja</v>
      </c>
      <c r="G9" s="25" t="s">
        <v>93</v>
      </c>
      <c r="H9" s="75" t="s">
        <v>1094</v>
      </c>
    </row>
    <row r="10" customFormat="false" ht="25.5" hidden="false" customHeight="true" outlineLevel="0" collapsed="false">
      <c r="B10" s="36" t="s">
        <v>1095</v>
      </c>
      <c r="C10" s="26" t="s">
        <v>1096</v>
      </c>
      <c r="D10" s="84" t="n">
        <f aca="false">SUMPRODUCT((SCENARIUSZE!$E$7:$E$14="TAK")*(SCENARIUSZE!$F$7:$F$14=""))</f>
        <v>0</v>
      </c>
      <c r="E10" s="85" t="s">
        <v>155</v>
      </c>
      <c r="F10" s="86" t="str">
        <f aca="false">IF($D10=0,"OK","UWAGA")</f>
        <v>OK</v>
      </c>
      <c r="G10" s="25" t="s">
        <v>1089</v>
      </c>
      <c r="H10" s="75" t="s">
        <v>1097</v>
      </c>
    </row>
    <row r="11" customFormat="false" ht="25.5" hidden="false" customHeight="true" outlineLevel="0" collapsed="false">
      <c r="B11" s="36" t="s">
        <v>1098</v>
      </c>
      <c r="C11" s="26" t="s">
        <v>1099</v>
      </c>
      <c r="D11" s="84" t="n">
        <f aca="false">SUMPRODUCT((SCENARIUSZE!$E$7:$E$14="TAK")*(SCENARIUSZE!$K$7:$K$14=0))</f>
        <v>0</v>
      </c>
      <c r="E11" s="85" t="s">
        <v>155</v>
      </c>
      <c r="F11" s="86" t="str">
        <f aca="false">IF($D11=0,"OK","UWAGA")</f>
        <v>OK</v>
      </c>
      <c r="G11" s="25" t="s">
        <v>1089</v>
      </c>
      <c r="H11" s="75" t="s">
        <v>1100</v>
      </c>
    </row>
    <row r="12" customFormat="false" ht="25.5" hidden="false" customHeight="true" outlineLevel="0" collapsed="false">
      <c r="B12" s="36" t="s">
        <v>1101</v>
      </c>
      <c r="C12" s="26" t="s">
        <v>1102</v>
      </c>
      <c r="D12" s="84" t="n">
        <f aca="false">SUMPRODUCT((SCENARIUSZE!$D$34:$D$89&lt;&gt;"")*(SCENARIUSZE!$D$34:$D$89&gt;SCENARIUSZE!$E$34:$E$89))+SUMPRODUCT((SCENARIUSZE!$F$34:$F$89&lt;&gt;"")*(SCENARIUSZE!$F$34:$F$89&lt;SCENARIUSZE!$E$34:$E$89))</f>
        <v>0</v>
      </c>
      <c r="E12" s="85" t="s">
        <v>155</v>
      </c>
      <c r="F12" s="86" t="str">
        <f aca="false">IF($D12=0,"OK","BŁĄD")</f>
        <v>OK</v>
      </c>
      <c r="G12" s="25" t="s">
        <v>1103</v>
      </c>
      <c r="H12" s="75" t="s">
        <v>1104</v>
      </c>
    </row>
    <row r="13" customFormat="false" ht="25.5" hidden="false" customHeight="true" outlineLevel="0" collapsed="false">
      <c r="B13" s="36" t="s">
        <v>1105</v>
      </c>
      <c r="C13" s="26" t="s">
        <v>1106</v>
      </c>
      <c r="D13" s="84" t="n">
        <f aca="false">SUMPRODUCT(('KOSZTY SZCZEGÓŁOWE'!$I$7:$I$126&lt;&gt;"")*('KOSZTY SZCZEGÓŁOWE'!$I$7:$I$126&gt;'KOSZTY SZCZEGÓŁOWE'!$J$7:$J$126))+SUMPRODUCT(('KOSZTY SZCZEGÓŁOWE'!$K$7:$K$126&lt;&gt;"")*('KOSZTY SZCZEGÓŁOWE'!$K$7:$K$126&lt;'KOSZTY SZCZEGÓŁOWE'!$J$7:$J$126))+SUMPRODUCT(('KOSZTY SZCZEGÓŁOWE'!$L$7:$L$126&lt;&gt;"")*('KOSZTY SZCZEGÓŁOWE'!$L$7:$L$126&gt;'KOSZTY SZCZEGÓŁOWE'!$M$7:$M$126))+SUMPRODUCT(('KOSZTY SZCZEGÓŁOWE'!$N$7:$N$126&lt;&gt;"")*('KOSZTY SZCZEGÓŁOWE'!$N$7:$N$126&lt;'KOSZTY SZCZEGÓŁOWE'!$M$7:$M$126))</f>
        <v>0</v>
      </c>
      <c r="E13" s="85" t="s">
        <v>155</v>
      </c>
      <c r="F13" s="86" t="str">
        <f aca="false">IF($D13=0,"OK","BŁĄD")</f>
        <v>OK</v>
      </c>
      <c r="G13" s="25" t="s">
        <v>1103</v>
      </c>
      <c r="H13" s="75" t="s">
        <v>1107</v>
      </c>
    </row>
    <row r="14" customFormat="false" ht="25.5" hidden="false" customHeight="true" outlineLevel="0" collapsed="false">
      <c r="B14" s="36" t="s">
        <v>1108</v>
      </c>
      <c r="C14" s="26" t="s">
        <v>1109</v>
      </c>
      <c r="D14" s="84" t="n">
        <f aca="false">SUMPRODUCT((PROCESY!$P$6:$P$17&lt;&gt;"")*(PROCESY!$P$6:$P$17&gt;PROCESY!$Q$6:$Q$17))+SUMPRODUCT((PROCESY!$R$6:$R$17&lt;&gt;"")*(PROCESY!$R$6:$R$17&lt;PROCESY!$Q$6:$Q$17))</f>
        <v>0</v>
      </c>
      <c r="E14" s="85" t="s">
        <v>155</v>
      </c>
      <c r="F14" s="86" t="str">
        <f aca="false">IF($D14=0,"OK","BŁĄD")</f>
        <v>OK</v>
      </c>
      <c r="G14" s="25" t="s">
        <v>1103</v>
      </c>
      <c r="H14" s="75" t="s">
        <v>1110</v>
      </c>
    </row>
    <row r="15" customFormat="false" ht="25.5" hidden="false" customHeight="true" outlineLevel="0" collapsed="false">
      <c r="B15" s="36" t="s">
        <v>1111</v>
      </c>
      <c r="C15" s="26" t="s">
        <v>1112</v>
      </c>
      <c r="D15" s="84" t="n">
        <f aca="false">SUMPRODUCT((PROCESY!$E$6:$E$17&lt;0)*1)+SUMPRODUCT((SCENARIUSZE!$D$34:$F$89&lt;0)*1)+SUMPRODUCT(('KOSZTY SZCZEGÓŁOWE'!$I$7:$N$126&lt;0)*1)+SUMPRODUCT((SCENARIUSZE!$G$34:$H$89&gt;1)*1)+SUMPRODUCT((PROCESY!$P$6:$R$17&gt;1)*1)+SUMPRODUCT((SCENARIUSZE!$C$19:$J$30&gt;1)*1)</f>
        <v>0</v>
      </c>
      <c r="E15" s="85" t="s">
        <v>155</v>
      </c>
      <c r="F15" s="86" t="str">
        <f aca="false">IF($D15=0,"OK","BŁĄD")</f>
        <v>OK</v>
      </c>
      <c r="G15" s="25" t="s">
        <v>1103</v>
      </c>
      <c r="H15" s="75" t="s">
        <v>1113</v>
      </c>
    </row>
    <row r="16" customFormat="false" ht="25.5" hidden="false" customHeight="true" outlineLevel="0" collapsed="false">
      <c r="B16" s="36" t="s">
        <v>1114</v>
      </c>
      <c r="C16" s="26" t="s">
        <v>774</v>
      </c>
      <c r="D16" s="84" t="n">
        <f aca="false">SUMPRODUCT(('KOSZTY SZCZEGÓŁOWE'!$T$7:$T$126="TAK")*('KOSZTY SZCZEGÓŁOWE'!$J$7:$J$126=""))+SUMPRODUCT(('KOSZTY SZCZEGÓŁOWE'!$T$7:$T$126="TAK")*('KOSZTY SZCZEGÓŁOWE'!$M$7:$M$126=""))</f>
        <v>0</v>
      </c>
      <c r="E16" s="85" t="s">
        <v>155</v>
      </c>
      <c r="F16" s="86" t="str">
        <f aca="false">IF($D16=0,"OK","UWAGA")</f>
        <v>OK</v>
      </c>
      <c r="G16" s="25" t="s">
        <v>1089</v>
      </c>
      <c r="H16" s="75" t="s">
        <v>1115</v>
      </c>
    </row>
    <row r="17" customFormat="false" ht="25.5" hidden="false" customHeight="true" outlineLevel="0" collapsed="false">
      <c r="B17" s="36" t="s">
        <v>1116</v>
      </c>
      <c r="C17" s="26" t="s">
        <v>1117</v>
      </c>
      <c r="D17" s="84" t="n">
        <f aca="false">SUMPRODUCT((SCENARIUSZE!$K$19:$K$30&gt;1)*1)</f>
        <v>0</v>
      </c>
      <c r="E17" s="85" t="s">
        <v>155</v>
      </c>
      <c r="F17" s="86" t="str">
        <f aca="false">IF($D17=0,"OK","UWAGA")</f>
        <v>OK</v>
      </c>
      <c r="G17" s="25" t="s">
        <v>1089</v>
      </c>
      <c r="H17" s="75" t="s">
        <v>1118</v>
      </c>
    </row>
    <row r="18" customFormat="false" ht="25.5" hidden="false" customHeight="true" outlineLevel="0" collapsed="false">
      <c r="B18" s="36" t="s">
        <v>1119</v>
      </c>
      <c r="C18" s="26" t="s">
        <v>1120</v>
      </c>
      <c r="D18" s="84" t="n">
        <f aca="false">COUNTIFS('KOSZTY SZCZEGÓŁOWE'!$D$7:$D$126,"K1 Ludzie i produktywność",'KOSZTY SZCZEGÓŁOWE'!$F$7:$F$126,"P&amp;L",'KOSZTY SZCZEGÓŁOWE'!$T$7:$T$126,"TAK")</f>
        <v>0</v>
      </c>
      <c r="E18" s="85" t="s">
        <v>155</v>
      </c>
      <c r="F18" s="86" t="str">
        <f aca="false">IF($D18=0,"OK","UWAGA")</f>
        <v>OK</v>
      </c>
      <c r="G18" s="25" t="s">
        <v>1089</v>
      </c>
      <c r="H18" s="75" t="s">
        <v>1121</v>
      </c>
    </row>
    <row r="19" customFormat="false" ht="25.5" hidden="false" customHeight="true" outlineLevel="0" collapsed="false">
      <c r="B19" s="36" t="s">
        <v>1122</v>
      </c>
      <c r="C19" s="26" t="s">
        <v>1123</v>
      </c>
      <c r="D19" s="84" t="n">
        <f aca="false">IFERROR(SUMPRODUCT(('KOSZTY SZCZEGÓŁOWE'!$R$7:$R$126&lt;&gt;"")*('KOSZTY SZCZEGÓŁOWE'!$T$7:$T$126="TAK")*(COUNTIFS('KOSZTY SZCZEGÓŁOWE'!$R$7:$R$126,'KOSZTY SZCZEGÓŁOWE'!$R$7:$R$126,'KOSZTY SZCZEGÓŁOWE'!$T$7:$T$126,"TAK")&gt;1)),0)</f>
        <v>0</v>
      </c>
      <c r="E19" s="85" t="s">
        <v>155</v>
      </c>
      <c r="F19" s="86" t="str">
        <f aca="false">IF($D19=0,"OK","BŁĄD")</f>
        <v>OK</v>
      </c>
      <c r="G19" s="25" t="s">
        <v>1103</v>
      </c>
      <c r="H19" s="75" t="s">
        <v>1124</v>
      </c>
    </row>
    <row r="20" customFormat="false" ht="25.5" hidden="false" customHeight="true" outlineLevel="0" collapsed="false">
      <c r="B20" s="36" t="s">
        <v>1125</v>
      </c>
      <c r="C20" s="26" t="s">
        <v>775</v>
      </c>
      <c r="D20" s="84" t="n">
        <f aca="false">COUNTIF('KOSZTY SZCZEGÓŁOWE'!$O$7:$O$126,"NIEPOLICZONE")+COUNTIF('KLIENT PRAWO CYBER'!$J$9:$J$38,"NIEPOLICZONE")</f>
        <v>0</v>
      </c>
      <c r="E20" s="85" t="s">
        <v>155</v>
      </c>
      <c r="F20" s="86" t="str">
        <f aca="false">"informacja"</f>
        <v>informacja</v>
      </c>
      <c r="G20" s="25" t="s">
        <v>93</v>
      </c>
      <c r="H20" s="75" t="s">
        <v>1126</v>
      </c>
    </row>
    <row r="21" customFormat="false" ht="25.5" hidden="false" customHeight="true" outlineLevel="0" collapsed="false">
      <c r="B21" s="36" t="s">
        <v>1127</v>
      </c>
      <c r="C21" s="26" t="s">
        <v>1128</v>
      </c>
      <c r="D21" s="84" t="n">
        <f aca="false">SUMPRODUCT(('KLIENT PRAWO CYBER'!$E$9:$E$38="WARUNKOWA")*('KLIENT PRAWO CYBER'!$L$9:$L$38="TAK")*('KLIENT PRAWO CYBER'!$I$9:$I$38=""))+SUMPRODUCT(('KOSZTY SZCZEGÓŁOWE'!$F$7:$F$126="WARUNKOWA")*('KOSZTY SZCZEGÓŁOWE'!$T$7:$T$126="TAK")*('KOSZTY SZCZEGÓŁOWE'!$M$7:$M$126=""))</f>
        <v>0</v>
      </c>
      <c r="E21" s="85" t="s">
        <v>155</v>
      </c>
      <c r="F21" s="86" t="str">
        <f aca="false">IF($D21=0,"OK","BŁĄD")</f>
        <v>OK</v>
      </c>
      <c r="G21" s="25" t="s">
        <v>1103</v>
      </c>
      <c r="H21" s="75" t="s">
        <v>1129</v>
      </c>
    </row>
    <row r="22" customFormat="false" ht="25.5" hidden="false" customHeight="true" outlineLevel="0" collapsed="false">
      <c r="B22" s="36" t="s">
        <v>1130</v>
      </c>
      <c r="C22" s="26" t="s">
        <v>1131</v>
      </c>
      <c r="D22" s="84" t="n">
        <f aca="false">IF('PROFIL FIRMY'!$D$10&lt;&gt;"Niekomercyjna",0,SUMPRODUCT((PROCESY!$G$6:$G$17&lt;&gt;"")*(PROCESY!$G$6:$G$17&lt;&gt;"Nie dotyczy")))</f>
        <v>0</v>
      </c>
      <c r="E22" s="85" t="s">
        <v>155</v>
      </c>
      <c r="F22" s="86" t="str">
        <f aca="false">IF($D22=0,"OK","UWAGA")</f>
        <v>OK</v>
      </c>
      <c r="G22" s="25" t="s">
        <v>1089</v>
      </c>
      <c r="H22" s="75" t="s">
        <v>1132</v>
      </c>
    </row>
    <row r="23" customFormat="false" ht="25.5" hidden="false" customHeight="true" outlineLevel="0" collapsed="false">
      <c r="B23" s="36" t="s">
        <v>1133</v>
      </c>
      <c r="C23" s="26" t="s">
        <v>1134</v>
      </c>
      <c r="D23" s="84" t="n">
        <f aca="false">(COUNTA('KOSZTY SZCZEGÓŁOWE'!$I$7:$N$126)-COUNT('KOSZTY SZCZEGÓŁOWE'!$I$7:$N$126))+(COUNTA(PROCESY!$E$6:$F$17)-COUNT(PROCESY!$E$6:$F$17))</f>
        <v>0</v>
      </c>
      <c r="E23" s="85" t="s">
        <v>155</v>
      </c>
      <c r="F23" s="86" t="str">
        <f aca="false">IF($D23=0,"OK","BŁĄD")</f>
        <v>OK</v>
      </c>
      <c r="G23" s="25" t="s">
        <v>1103</v>
      </c>
      <c r="H23" s="75" t="s">
        <v>1135</v>
      </c>
    </row>
    <row r="24" customFormat="false" ht="25.5" hidden="false" customHeight="true" outlineLevel="0" collapsed="false">
      <c r="B24" s="36" t="s">
        <v>1136</v>
      </c>
      <c r="C24" s="26" t="s">
        <v>1137</v>
      </c>
      <c r="D24" s="84" t="n">
        <f aca="false">SUMPRODUCT(ISERROR(SCENARIUSZE!$C$93:$J$141)*1)+SUMPRODUCT(ISERROR('KOSZTY SZCZEGÓŁOWE'!$V$7:$X$126)*1)</f>
        <v>0</v>
      </c>
      <c r="E24" s="85" t="s">
        <v>155</v>
      </c>
      <c r="F24" s="86" t="str">
        <f aca="false">IF($D24=0,"OK","BŁĄD")</f>
        <v>OK</v>
      </c>
      <c r="G24" s="25" t="s">
        <v>1103</v>
      </c>
      <c r="H24" s="75" t="s">
        <v>1138</v>
      </c>
    </row>
    <row r="25" customFormat="false" ht="25.5" hidden="false" customHeight="true" outlineLevel="0" collapsed="false">
      <c r="B25" s="36" t="s">
        <v>1139</v>
      </c>
      <c r="C25" s="26" t="s">
        <v>1140</v>
      </c>
      <c r="D25" s="89" t="n">
        <f aca="false">IF(COUNTIF('KOSZTY SZCZEGÓŁOWE'!$T$7:$T$126,"TAK")=0,0,ROUND(COUNTIFS('KOSZTY SZCZEGÓŁOWE'!$T$7:$T$126,"TAK",'KOSZTY SZCZEGÓŁOWE'!$Q$7:$Q$126,"Wysoka")/COUNTIF('KOSZTY SZCZEGÓŁOWE'!$T$7:$T$126,"TAK"),4))</f>
        <v>0</v>
      </c>
      <c r="E25" s="85" t="s">
        <v>85</v>
      </c>
      <c r="F25" s="86" t="str">
        <f aca="false">"informacja"</f>
        <v>informacja</v>
      </c>
      <c r="G25" s="25" t="s">
        <v>93</v>
      </c>
      <c r="H25" s="75" t="s">
        <v>1141</v>
      </c>
    </row>
    <row r="26" customFormat="false" ht="25.5" hidden="false" customHeight="true" outlineLevel="0" collapsed="false">
      <c r="B26" s="36" t="s">
        <v>1142</v>
      </c>
      <c r="C26" s="26" t="s">
        <v>1143</v>
      </c>
      <c r="D26" s="84" t="n">
        <f aca="false">SUMPRODUCT(('KOSZTY SZCZEGÓŁOWE'!$T$7:$T$126="TAK")*('KOSZTY SZCZEGÓŁOWE'!$B$7:$B$126=""))</f>
        <v>0</v>
      </c>
      <c r="E26" s="85" t="s">
        <v>155</v>
      </c>
      <c r="F26" s="86" t="str">
        <f aca="false">IF($D26=0,"OK","BŁĄD")</f>
        <v>OK</v>
      </c>
      <c r="G26" s="25" t="s">
        <v>1103</v>
      </c>
      <c r="H26" s="75" t="s">
        <v>1144</v>
      </c>
    </row>
    <row r="27" customFormat="false" ht="15" hidden="false" customHeight="false" outlineLevel="0" collapsed="false">
      <c r="C27" s="36" t="s">
        <v>1145</v>
      </c>
      <c r="D27" s="84" t="n">
        <f aca="false">SUM($D$8,$D$10,$D$11,$D$12,$D$13,$D$14,$D$15,$D$16,$D$17,$D$18,$D$19,$D$21,$D$22,$D$23,$D$24,$D$26)</f>
        <v>0</v>
      </c>
    </row>
    <row r="28" customFormat="false" ht="15" hidden="false" customHeight="false" outlineLevel="0" collapsed="false">
      <c r="C28" s="36" t="s">
        <v>806</v>
      </c>
      <c r="D28" s="90" t="str">
        <f aca="false">IF($D$24&gt;0,"Niska — błędy formuł",IF(OR($D$9&lt;0.5,$D$27&gt;5),"Niska",IF(AND($D$9&gt;=0.8,$D$16=0,$D$27=0),"Wysoka","Średnia")))</f>
        <v>Niska</v>
      </c>
    </row>
    <row r="31" customFormat="false" ht="19.5" hidden="false" customHeight="true" outlineLevel="0" collapsed="false">
      <c r="A31" s="4" t="s">
        <v>1146</v>
      </c>
      <c r="B31" s="5"/>
      <c r="C31" s="5"/>
      <c r="D31" s="5"/>
      <c r="E31" s="5"/>
      <c r="F31" s="5"/>
      <c r="G31" s="5"/>
      <c r="H31" s="5"/>
    </row>
    <row r="32" customFormat="false" ht="16.5" hidden="false" customHeight="true" outlineLevel="0" collapsed="false">
      <c r="C32" s="47" t="s">
        <v>1147</v>
      </c>
      <c r="D32" s="47"/>
      <c r="E32" s="47"/>
      <c r="F32" s="47"/>
      <c r="G32" s="47"/>
      <c r="H32" s="47"/>
    </row>
    <row r="33" customFormat="false" ht="16.5" hidden="false" customHeight="true" outlineLevel="0" collapsed="false">
      <c r="C33" s="47" t="s">
        <v>1148</v>
      </c>
      <c r="D33" s="47"/>
      <c r="E33" s="47"/>
      <c r="F33" s="47"/>
      <c r="G33" s="47"/>
      <c r="H33" s="47"/>
    </row>
    <row r="34" customFormat="false" ht="16.5" hidden="false" customHeight="true" outlineLevel="0" collapsed="false">
      <c r="C34" s="47" t="s">
        <v>1149</v>
      </c>
      <c r="D34" s="47"/>
      <c r="E34" s="47"/>
      <c r="F34" s="47"/>
      <c r="G34" s="47"/>
      <c r="H34" s="47"/>
    </row>
    <row r="35" customFormat="false" ht="16.5" hidden="false" customHeight="true" outlineLevel="0" collapsed="false">
      <c r="C35" s="47" t="s">
        <v>1150</v>
      </c>
      <c r="D35" s="47"/>
      <c r="E35" s="47"/>
      <c r="F35" s="47"/>
      <c r="G35" s="47"/>
      <c r="H35" s="47"/>
    </row>
  </sheetData>
  <mergeCells count="6">
    <mergeCell ref="A2:H2"/>
    <mergeCell ref="A3:H3"/>
    <mergeCell ref="C32:H32"/>
    <mergeCell ref="C33:H33"/>
    <mergeCell ref="C34:H34"/>
    <mergeCell ref="C35:H35"/>
  </mergeCells>
  <conditionalFormatting sqref="F7:F26">
    <cfRule type="cellIs" priority="2" operator="equal" aboveAverage="0" equalAverage="0" bottom="0" percent="0" rank="0" text="" dxfId="0">
      <formula>"OK"</formula>
    </cfRule>
    <cfRule type="cellIs" priority="3" operator="equal" aboveAverage="0" equalAverage="0" bottom="0" percent="0" rank="0" text="" dxfId="1">
      <formula>"UWAGA"</formula>
    </cfRule>
    <cfRule type="cellIs" priority="4" operator="equal" aboveAverage="0" equalAverage="0" bottom="0" percent="0" rank="0" text="" dxfId="2">
      <formula>"BŁĄD"</formula>
    </cfRule>
  </conditionalFormatting>
  <printOptions headings="false" gridLines="false" gridLinesSet="true" horizontalCentered="false" verticalCentered="false"/>
  <pageMargins left="0.4" right="0.4" top="0.4" bottom="0.4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false"/>
  </sheetPr>
  <dimension ref="A1:V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1" min="1" style="0" width="28"/>
    <col collapsed="false" customWidth="true" hidden="false" outlineLevel="0" max="22" min="22" style="0" width="36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1151</v>
      </c>
      <c r="B2" s="22"/>
      <c r="C2" s="22"/>
      <c r="D2" s="22"/>
      <c r="E2" s="22"/>
      <c r="F2" s="22"/>
      <c r="G2" s="22"/>
      <c r="H2" s="22"/>
    </row>
    <row r="3" customFormat="false" ht="30" hidden="false" customHeight="true" outlineLevel="0" collapsed="false">
      <c r="A3" s="23" t="s">
        <v>1152</v>
      </c>
      <c r="B3" s="23"/>
      <c r="C3" s="23"/>
      <c r="D3" s="23"/>
      <c r="E3" s="23"/>
      <c r="F3" s="23"/>
      <c r="G3" s="23"/>
      <c r="H3" s="23"/>
    </row>
    <row r="7" customFormat="false" ht="30" hidden="false" customHeight="true" outlineLevel="0" collapsed="false">
      <c r="A7" s="91" t="s">
        <v>151</v>
      </c>
      <c r="B7" s="91" t="s">
        <v>194</v>
      </c>
      <c r="C7" s="91" t="s">
        <v>1153</v>
      </c>
      <c r="D7" s="91" t="s">
        <v>1154</v>
      </c>
      <c r="E7" s="91" t="s">
        <v>291</v>
      </c>
      <c r="F7" s="91" t="s">
        <v>398</v>
      </c>
      <c r="G7" s="91" t="s">
        <v>138</v>
      </c>
      <c r="H7" s="91" t="s">
        <v>1155</v>
      </c>
      <c r="I7" s="91" t="s">
        <v>1156</v>
      </c>
      <c r="J7" s="91" t="s">
        <v>294</v>
      </c>
      <c r="K7" s="91" t="s">
        <v>1157</v>
      </c>
      <c r="L7" s="91" t="s">
        <v>1158</v>
      </c>
      <c r="M7" s="91" t="s">
        <v>314</v>
      </c>
      <c r="N7" s="91" t="s">
        <v>1159</v>
      </c>
      <c r="O7" s="91" t="s">
        <v>607</v>
      </c>
      <c r="P7" s="91" t="s">
        <v>1160</v>
      </c>
      <c r="Q7" s="91" t="s">
        <v>264</v>
      </c>
      <c r="R7" s="91" t="s">
        <v>263</v>
      </c>
      <c r="S7" s="91" t="s">
        <v>1161</v>
      </c>
      <c r="T7" s="91" t="s">
        <v>1162</v>
      </c>
      <c r="U7" s="91" t="s">
        <v>735</v>
      </c>
      <c r="V7" s="92" t="s">
        <v>1163</v>
      </c>
    </row>
    <row r="8" customFormat="false" ht="15" hidden="false" customHeight="false" outlineLevel="0" collapsed="false">
      <c r="A8" s="93" t="s">
        <v>1164</v>
      </c>
      <c r="B8" s="93" t="s">
        <v>1165</v>
      </c>
      <c r="C8" s="93" t="s">
        <v>1166</v>
      </c>
      <c r="D8" s="93" t="s">
        <v>1167</v>
      </c>
      <c r="E8" s="93" t="s">
        <v>1168</v>
      </c>
      <c r="F8" s="93" t="s">
        <v>419</v>
      </c>
      <c r="G8" s="93" t="s">
        <v>142</v>
      </c>
      <c r="H8" s="93" t="s">
        <v>784</v>
      </c>
      <c r="I8" s="93" t="s">
        <v>1169</v>
      </c>
      <c r="J8" s="93" t="s">
        <v>1170</v>
      </c>
      <c r="K8" s="93" t="s">
        <v>417</v>
      </c>
      <c r="L8" s="93" t="s">
        <v>304</v>
      </c>
      <c r="M8" s="93" t="s">
        <v>93</v>
      </c>
      <c r="N8" s="93" t="s">
        <v>421</v>
      </c>
      <c r="O8" s="93" t="s">
        <v>1171</v>
      </c>
      <c r="P8" s="93" t="s">
        <v>425</v>
      </c>
      <c r="Q8" s="93" t="s">
        <v>1172</v>
      </c>
      <c r="R8" s="93" t="s">
        <v>1173</v>
      </c>
      <c r="S8" s="93" t="s">
        <v>433</v>
      </c>
      <c r="T8" s="93" t="s">
        <v>639</v>
      </c>
      <c r="U8" s="93" t="s">
        <v>1174</v>
      </c>
      <c r="V8" s="93" t="s">
        <v>331</v>
      </c>
    </row>
    <row r="9" customFormat="false" ht="15" hidden="false" customHeight="false" outlineLevel="0" collapsed="false">
      <c r="A9" s="93" t="s">
        <v>1175</v>
      </c>
      <c r="B9" s="93" t="s">
        <v>1176</v>
      </c>
      <c r="C9" s="93" t="s">
        <v>1177</v>
      </c>
      <c r="D9" s="93" t="s">
        <v>1178</v>
      </c>
      <c r="E9" s="93" t="s">
        <v>1179</v>
      </c>
      <c r="F9" s="93" t="s">
        <v>432</v>
      </c>
      <c r="G9" s="93" t="s">
        <v>1180</v>
      </c>
      <c r="H9" s="93" t="s">
        <v>1181</v>
      </c>
      <c r="I9" s="93" t="s">
        <v>422</v>
      </c>
      <c r="J9" s="93" t="s">
        <v>1182</v>
      </c>
      <c r="K9" s="93" t="s">
        <v>430</v>
      </c>
      <c r="L9" s="93" t="s">
        <v>305</v>
      </c>
      <c r="M9" s="93" t="s">
        <v>236</v>
      </c>
      <c r="N9" s="93" t="s">
        <v>1183</v>
      </c>
      <c r="O9" s="93" t="s">
        <v>1184</v>
      </c>
      <c r="P9" s="93" t="s">
        <v>419</v>
      </c>
      <c r="Q9" s="93" t="s">
        <v>112</v>
      </c>
      <c r="R9" s="93" t="s">
        <v>1185</v>
      </c>
      <c r="S9" s="93" t="s">
        <v>428</v>
      </c>
      <c r="T9" s="93" t="s">
        <v>642</v>
      </c>
      <c r="U9" s="93" t="s">
        <v>1186</v>
      </c>
      <c r="V9" s="93" t="s">
        <v>332</v>
      </c>
    </row>
    <row r="10" customFormat="false" ht="15" hidden="false" customHeight="false" outlineLevel="0" collapsed="false">
      <c r="C10" s="93" t="s">
        <v>1187</v>
      </c>
      <c r="D10" s="93" t="s">
        <v>1188</v>
      </c>
      <c r="E10" s="93" t="s">
        <v>1189</v>
      </c>
      <c r="F10" s="93" t="s">
        <v>425</v>
      </c>
      <c r="G10" s="93" t="s">
        <v>1190</v>
      </c>
      <c r="H10" s="93" t="s">
        <v>783</v>
      </c>
      <c r="K10" s="93" t="s">
        <v>440</v>
      </c>
      <c r="L10" s="93" t="s">
        <v>306</v>
      </c>
      <c r="M10" s="93" t="s">
        <v>237</v>
      </c>
      <c r="O10" s="93" t="s">
        <v>1191</v>
      </c>
      <c r="Q10" s="93" t="s">
        <v>1192</v>
      </c>
      <c r="R10" s="93" t="s">
        <v>1193</v>
      </c>
      <c r="S10" s="93" t="s">
        <v>420</v>
      </c>
      <c r="T10" s="93" t="s">
        <v>645</v>
      </c>
      <c r="V10" s="93" t="s">
        <v>333</v>
      </c>
    </row>
    <row r="11" customFormat="false" ht="15" hidden="false" customHeight="false" outlineLevel="0" collapsed="false">
      <c r="C11" s="93" t="s">
        <v>1194</v>
      </c>
      <c r="D11" s="93" t="s">
        <v>1195</v>
      </c>
      <c r="E11" s="93" t="s">
        <v>1196</v>
      </c>
      <c r="F11" s="93" t="s">
        <v>498</v>
      </c>
      <c r="G11" s="93" t="s">
        <v>198</v>
      </c>
      <c r="K11" s="93" t="s">
        <v>447</v>
      </c>
      <c r="L11" s="93" t="s">
        <v>307</v>
      </c>
      <c r="M11" s="93" t="s">
        <v>238</v>
      </c>
      <c r="Q11" s="93" t="s">
        <v>110</v>
      </c>
      <c r="S11" s="93" t="s">
        <v>1197</v>
      </c>
      <c r="T11" s="93" t="s">
        <v>648</v>
      </c>
      <c r="V11" s="93" t="s">
        <v>334</v>
      </c>
    </row>
    <row r="12" customFormat="false" ht="15" hidden="false" customHeight="false" outlineLevel="0" collapsed="false">
      <c r="C12" s="93" t="s">
        <v>1198</v>
      </c>
      <c r="D12" s="93" t="s">
        <v>1199</v>
      </c>
      <c r="E12" s="93" t="s">
        <v>1200</v>
      </c>
      <c r="F12" s="93" t="s">
        <v>503</v>
      </c>
      <c r="G12" s="93" t="s">
        <v>175</v>
      </c>
      <c r="K12" s="93" t="s">
        <v>454</v>
      </c>
      <c r="L12" s="93" t="s">
        <v>308</v>
      </c>
      <c r="M12" s="93" t="s">
        <v>239</v>
      </c>
      <c r="S12" s="93" t="s">
        <v>438</v>
      </c>
      <c r="T12" s="93" t="s">
        <v>653</v>
      </c>
      <c r="V12" s="93" t="s">
        <v>335</v>
      </c>
    </row>
    <row r="13" customFormat="false" ht="15" hidden="false" customHeight="false" outlineLevel="0" collapsed="false">
      <c r="C13" s="93" t="s">
        <v>1201</v>
      </c>
      <c r="E13" s="93" t="s">
        <v>1202</v>
      </c>
      <c r="G13" s="93" t="s">
        <v>1203</v>
      </c>
      <c r="K13" s="93" t="s">
        <v>459</v>
      </c>
      <c r="L13" s="93" t="s">
        <v>309</v>
      </c>
      <c r="M13" s="93" t="s">
        <v>240</v>
      </c>
      <c r="S13" s="93" t="s">
        <v>1204</v>
      </c>
      <c r="T13" s="93" t="s">
        <v>658</v>
      </c>
      <c r="V13" s="93" t="s">
        <v>336</v>
      </c>
    </row>
    <row r="14" customFormat="false" ht="15" hidden="false" customHeight="false" outlineLevel="0" collapsed="false">
      <c r="C14" s="93" t="s">
        <v>1205</v>
      </c>
      <c r="E14" s="93" t="s">
        <v>1206</v>
      </c>
      <c r="K14" s="93" t="s">
        <v>464</v>
      </c>
      <c r="L14" s="93" t="s">
        <v>310</v>
      </c>
      <c r="M14" s="93" t="s">
        <v>241</v>
      </c>
      <c r="S14" s="93" t="s">
        <v>499</v>
      </c>
      <c r="T14" s="93" t="s">
        <v>661</v>
      </c>
      <c r="V14" s="93" t="s">
        <v>337</v>
      </c>
    </row>
    <row r="15" customFormat="false" ht="15" hidden="false" customHeight="false" outlineLevel="0" collapsed="false">
      <c r="E15" s="93" t="s">
        <v>1207</v>
      </c>
      <c r="K15" s="93" t="s">
        <v>477</v>
      </c>
      <c r="L15" s="93" t="s">
        <v>311</v>
      </c>
      <c r="M15" s="93" t="s">
        <v>242</v>
      </c>
      <c r="T15" s="93" t="s">
        <v>664</v>
      </c>
    </row>
    <row r="16" customFormat="false" ht="15" hidden="false" customHeight="false" outlineLevel="0" collapsed="false">
      <c r="E16" s="93" t="s">
        <v>1208</v>
      </c>
      <c r="K16" s="93" t="s">
        <v>482</v>
      </c>
      <c r="M16" s="93" t="s">
        <v>243</v>
      </c>
      <c r="T16" s="93" t="s">
        <v>1209</v>
      </c>
    </row>
    <row r="17" customFormat="false" ht="15" hidden="false" customHeight="false" outlineLevel="0" collapsed="false">
      <c r="E17" s="93" t="s">
        <v>1210</v>
      </c>
      <c r="K17" s="93" t="s">
        <v>487</v>
      </c>
      <c r="M17" s="93" t="s">
        <v>244</v>
      </c>
    </row>
    <row r="18" customFormat="false" ht="15" hidden="false" customHeight="false" outlineLevel="0" collapsed="false">
      <c r="E18" s="93" t="s">
        <v>1211</v>
      </c>
      <c r="K18" s="93" t="s">
        <v>494</v>
      </c>
      <c r="M18" s="93" t="s">
        <v>245</v>
      </c>
    </row>
    <row r="19" customFormat="false" ht="15" hidden="false" customHeight="false" outlineLevel="0" collapsed="false">
      <c r="E19" s="93" t="s">
        <v>1212</v>
      </c>
      <c r="K19" s="93" t="s">
        <v>501</v>
      </c>
      <c r="M19" s="93" t="s">
        <v>246</v>
      </c>
    </row>
    <row r="20" customFormat="false" ht="15" hidden="false" customHeight="false" outlineLevel="0" collapsed="false">
      <c r="M20" s="93" t="s">
        <v>247</v>
      </c>
    </row>
  </sheetData>
  <mergeCells count="2">
    <mergeCell ref="A2:H2"/>
    <mergeCell ref="A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true"/>
  </sheetPr>
  <dimension ref="A1:G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46"/>
    <col collapsed="false" customWidth="true" hidden="false" outlineLevel="0" max="3" min="3" style="0" width="10"/>
    <col collapsed="false" customWidth="true" hidden="false" outlineLevel="0" max="6" min="4" style="0" width="16"/>
    <col collapsed="false" customWidth="true" hidden="false" outlineLevel="0" max="7" min="7" style="0" width="62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61</v>
      </c>
      <c r="B2" s="22"/>
      <c r="C2" s="22"/>
      <c r="D2" s="22"/>
      <c r="E2" s="22"/>
      <c r="F2" s="22"/>
      <c r="G2" s="22"/>
    </row>
    <row r="3" customFormat="false" ht="16.5" hidden="false" customHeight="true" outlineLevel="0" collapsed="false">
      <c r="A3" s="23" t="s">
        <v>62</v>
      </c>
      <c r="B3" s="23"/>
      <c r="C3" s="23"/>
      <c r="D3" s="23"/>
      <c r="E3" s="23"/>
      <c r="F3" s="23"/>
      <c r="G3" s="23"/>
    </row>
    <row r="5" customFormat="false" ht="19.5" hidden="false" customHeight="true" outlineLevel="0" collapsed="false">
      <c r="A5" s="4" t="s">
        <v>63</v>
      </c>
      <c r="B5" s="5"/>
      <c r="C5" s="5"/>
      <c r="D5" s="5"/>
      <c r="E5" s="5"/>
      <c r="F5" s="5"/>
      <c r="G5" s="5"/>
    </row>
    <row r="6" customFormat="false" ht="25.5" hidden="false" customHeight="true" outlineLevel="0" collapsed="false">
      <c r="A6" s="24" t="s">
        <v>64</v>
      </c>
      <c r="B6" s="24" t="s">
        <v>65</v>
      </c>
      <c r="C6" s="24" t="s">
        <v>66</v>
      </c>
      <c r="D6" s="24" t="s">
        <v>67</v>
      </c>
      <c r="G6" s="24" t="s">
        <v>68</v>
      </c>
    </row>
    <row r="7" customFormat="false" ht="24" hidden="false" customHeight="true" outlineLevel="0" collapsed="false">
      <c r="A7" s="25" t="s">
        <v>69</v>
      </c>
      <c r="B7" s="26" t="s">
        <v>70</v>
      </c>
      <c r="C7" s="27" t="s">
        <v>71</v>
      </c>
      <c r="D7" s="28"/>
      <c r="G7" s="29" t="s">
        <v>72</v>
      </c>
    </row>
    <row r="8" customFormat="false" ht="24" hidden="false" customHeight="true" outlineLevel="0" collapsed="false">
      <c r="A8" s="25" t="s">
        <v>73</v>
      </c>
      <c r="B8" s="26" t="s">
        <v>74</v>
      </c>
      <c r="C8" s="27" t="s">
        <v>75</v>
      </c>
      <c r="D8" s="30"/>
      <c r="G8" s="29" t="s">
        <v>76</v>
      </c>
    </row>
    <row r="9" customFormat="false" ht="24" hidden="false" customHeight="true" outlineLevel="0" collapsed="false">
      <c r="A9" s="25" t="s">
        <v>77</v>
      </c>
      <c r="B9" s="26" t="s">
        <v>78</v>
      </c>
      <c r="C9" s="27" t="s">
        <v>75</v>
      </c>
      <c r="D9" s="30"/>
      <c r="G9" s="29" t="s">
        <v>79</v>
      </c>
    </row>
    <row r="10" customFormat="false" ht="24" hidden="false" customHeight="true" outlineLevel="0" collapsed="false">
      <c r="A10" s="25" t="s">
        <v>80</v>
      </c>
      <c r="B10" s="26" t="s">
        <v>81</v>
      </c>
      <c r="C10" s="27" t="s">
        <v>75</v>
      </c>
      <c r="D10" s="30"/>
      <c r="G10" s="29" t="s">
        <v>82</v>
      </c>
    </row>
    <row r="11" customFormat="false" ht="24" hidden="false" customHeight="true" outlineLevel="0" collapsed="false">
      <c r="A11" s="25" t="s">
        <v>83</v>
      </c>
      <c r="B11" s="26" t="s">
        <v>84</v>
      </c>
      <c r="C11" s="27" t="s">
        <v>85</v>
      </c>
      <c r="D11" s="31"/>
      <c r="G11" s="29" t="s">
        <v>86</v>
      </c>
    </row>
    <row r="12" customFormat="false" ht="24" hidden="false" customHeight="true" outlineLevel="0" collapsed="false">
      <c r="A12" s="25" t="s">
        <v>87</v>
      </c>
      <c r="B12" s="26" t="s">
        <v>88</v>
      </c>
      <c r="C12" s="27" t="s">
        <v>89</v>
      </c>
      <c r="D12" s="32"/>
      <c r="G12" s="29" t="s">
        <v>90</v>
      </c>
    </row>
    <row r="13" customFormat="false" ht="24" hidden="false" customHeight="true" outlineLevel="0" collapsed="false">
      <c r="A13" s="25" t="s">
        <v>91</v>
      </c>
      <c r="B13" s="26" t="s">
        <v>92</v>
      </c>
      <c r="C13" s="27" t="s">
        <v>93</v>
      </c>
      <c r="D13" s="33"/>
      <c r="G13" s="29" t="s">
        <v>94</v>
      </c>
    </row>
    <row r="14" customFormat="false" ht="24" hidden="false" customHeight="true" outlineLevel="0" collapsed="false">
      <c r="A14" s="25" t="s">
        <v>95</v>
      </c>
      <c r="B14" s="26" t="s">
        <v>96</v>
      </c>
      <c r="C14" s="27" t="s">
        <v>89</v>
      </c>
      <c r="D14" s="32"/>
      <c r="G14" s="29" t="s">
        <v>97</v>
      </c>
    </row>
    <row r="15" customFormat="false" ht="24" hidden="false" customHeight="true" outlineLevel="0" collapsed="false">
      <c r="A15" s="25" t="s">
        <v>98</v>
      </c>
      <c r="B15" s="26" t="s">
        <v>99</v>
      </c>
      <c r="C15" s="27" t="s">
        <v>85</v>
      </c>
      <c r="D15" s="31"/>
      <c r="G15" s="29" t="s">
        <v>100</v>
      </c>
    </row>
    <row r="16" customFormat="false" ht="24" hidden="false" customHeight="true" outlineLevel="0" collapsed="false">
      <c r="A16" s="25" t="s">
        <v>101</v>
      </c>
      <c r="B16" s="26" t="s">
        <v>102</v>
      </c>
      <c r="C16" s="27" t="s">
        <v>85</v>
      </c>
      <c r="D16" s="31"/>
      <c r="G16" s="29" t="s">
        <v>103</v>
      </c>
    </row>
    <row r="17" customFormat="false" ht="24" hidden="false" customHeight="true" outlineLevel="0" collapsed="false">
      <c r="A17" s="25" t="s">
        <v>104</v>
      </c>
      <c r="B17" s="26" t="s">
        <v>105</v>
      </c>
      <c r="C17" s="27" t="s">
        <v>106</v>
      </c>
      <c r="D17" s="32"/>
      <c r="G17" s="29" t="s">
        <v>107</v>
      </c>
    </row>
    <row r="19" customFormat="false" ht="19.5" hidden="false" customHeight="true" outlineLevel="0" collapsed="false">
      <c r="A19" s="4" t="s">
        <v>108</v>
      </c>
      <c r="B19" s="5"/>
      <c r="C19" s="5"/>
      <c r="D19" s="5"/>
      <c r="E19" s="5"/>
      <c r="F19" s="5"/>
      <c r="G19" s="5"/>
    </row>
    <row r="20" customFormat="false" ht="24" hidden="false" customHeight="true" outlineLevel="0" collapsed="false">
      <c r="A20" s="24"/>
      <c r="B20" s="24" t="s">
        <v>109</v>
      </c>
      <c r="C20" s="24" t="s">
        <v>66</v>
      </c>
      <c r="D20" s="24" t="s">
        <v>110</v>
      </c>
      <c r="E20" s="24" t="s">
        <v>111</v>
      </c>
      <c r="F20" s="24" t="s">
        <v>112</v>
      </c>
      <c r="G20" s="24" t="s">
        <v>113</v>
      </c>
    </row>
    <row r="21" customFormat="false" ht="27.75" hidden="false" customHeight="true" outlineLevel="0" collapsed="false">
      <c r="B21" s="26" t="s">
        <v>114</v>
      </c>
      <c r="C21" s="27" t="s">
        <v>75</v>
      </c>
      <c r="D21" s="34" t="n">
        <f aca="false">IFERROR(ROUND($D$8*$D$11,2),0)</f>
        <v>0</v>
      </c>
      <c r="E21" s="34" t="n">
        <f aca="false">IFERROR(ROUND($D$9*$D$11,2),0)</f>
        <v>0</v>
      </c>
      <c r="F21" s="34" t="n">
        <f aca="false">IFERROR(ROUND($D$10*$D$11,2),0)</f>
        <v>0</v>
      </c>
      <c r="G21" s="29" t="s">
        <v>115</v>
      </c>
    </row>
    <row r="22" customFormat="false" ht="27.75" hidden="false" customHeight="true" outlineLevel="0" collapsed="false">
      <c r="B22" s="26" t="s">
        <v>116</v>
      </c>
      <c r="C22" s="27" t="s">
        <v>106</v>
      </c>
      <c r="D22" s="35" t="n">
        <f aca="false">IF($D$13&lt;&gt;"TAK",0,IFERROR(ROUND($D$14*$D$15*$D$16*$D$21,2),0))</f>
        <v>0</v>
      </c>
      <c r="E22" s="35" t="n">
        <f aca="false">IF($D$13&lt;&gt;"TAK",0,IFERROR(ROUND($D$14*$D$15*$D$16*$E$21,2),0))</f>
        <v>0</v>
      </c>
      <c r="F22" s="35" t="n">
        <f aca="false">IF($D$13&lt;&gt;"TAK",0,IFERROR(ROUND($D$14*$D$15*$D$16*$F$21,2),0))</f>
        <v>0</v>
      </c>
      <c r="G22" s="29" t="s">
        <v>117</v>
      </c>
    </row>
    <row r="23" customFormat="false" ht="27.75" hidden="false" customHeight="true" outlineLevel="0" collapsed="false">
      <c r="B23" s="26" t="s">
        <v>118</v>
      </c>
      <c r="C23" s="27" t="s">
        <v>106</v>
      </c>
      <c r="D23" s="35" t="n">
        <f aca="false">IFERROR(ROUND($D$17,2),0)</f>
        <v>0</v>
      </c>
      <c r="E23" s="35" t="n">
        <f aca="false">IFERROR(ROUND($D$17,2),0)</f>
        <v>0</v>
      </c>
      <c r="F23" s="35" t="n">
        <f aca="false">IFERROR(ROUND($D$17,2),0)</f>
        <v>0</v>
      </c>
      <c r="G23" s="29" t="s">
        <v>119</v>
      </c>
    </row>
    <row r="24" customFormat="false" ht="27.75" hidden="false" customHeight="true" outlineLevel="0" collapsed="false">
      <c r="B24" s="36" t="s">
        <v>120</v>
      </c>
      <c r="C24" s="27" t="s">
        <v>106</v>
      </c>
      <c r="D24" s="37" t="n">
        <f aca="false">ROUND($D$22+$D$23,2)</f>
        <v>0</v>
      </c>
      <c r="E24" s="37" t="n">
        <f aca="false">ROUND($E$22+$E$23,2)</f>
        <v>0</v>
      </c>
      <c r="F24" s="37" t="n">
        <f aca="false">ROUND($F$22+$F$23,2)</f>
        <v>0</v>
      </c>
      <c r="G24" s="29" t="s">
        <v>121</v>
      </c>
    </row>
    <row r="25" customFormat="false" ht="27.75" hidden="false" customHeight="true" outlineLevel="0" collapsed="false">
      <c r="B25" s="26" t="s">
        <v>122</v>
      </c>
      <c r="C25" s="27" t="s">
        <v>106</v>
      </c>
      <c r="D25" s="35" t="n">
        <f aca="false">IFERROR(ROUND($D$7*$D$12*$D$21,2),0)</f>
        <v>0</v>
      </c>
      <c r="E25" s="35" t="n">
        <f aca="false">IFERROR(ROUND($D$7*$D$12*$E$21,2),0)</f>
        <v>0</v>
      </c>
      <c r="F25" s="35" t="n">
        <f aca="false">IFERROR(ROUND($D$7*$D$12*$F$21,2),0)</f>
        <v>0</v>
      </c>
      <c r="G25" s="29" t="s">
        <v>123</v>
      </c>
    </row>
    <row r="27" customFormat="false" ht="19.5" hidden="false" customHeight="true" outlineLevel="0" collapsed="false">
      <c r="A27" s="4" t="s">
        <v>124</v>
      </c>
      <c r="B27" s="5"/>
      <c r="C27" s="5"/>
      <c r="D27" s="5"/>
      <c r="E27" s="5"/>
      <c r="F27" s="5"/>
      <c r="G27" s="5"/>
    </row>
    <row r="28" customFormat="false" ht="30" hidden="false" customHeight="true" outlineLevel="0" collapsed="false">
      <c r="B28" s="38" t="s">
        <v>125</v>
      </c>
    </row>
    <row r="29" customFormat="false" ht="30" hidden="false" customHeight="true" outlineLevel="0" collapsed="false">
      <c r="B29" s="38" t="s">
        <v>126</v>
      </c>
    </row>
    <row r="30" customFormat="false" ht="30" hidden="false" customHeight="true" outlineLevel="0" collapsed="false">
      <c r="B30" s="38" t="s">
        <v>127</v>
      </c>
    </row>
    <row r="31" customFormat="false" ht="16.5" hidden="false" customHeight="true" outlineLevel="0" collapsed="false">
      <c r="B31" s="38" t="s">
        <v>128</v>
      </c>
    </row>
    <row r="32" customFormat="false" ht="30" hidden="false" customHeight="true" outlineLevel="0" collapsed="false">
      <c r="B32" s="38" t="s">
        <v>129</v>
      </c>
    </row>
    <row r="33" customFormat="false" ht="16.5" hidden="false" customHeight="true" outlineLevel="0" collapsed="false">
      <c r="B33" s="38" t="s">
        <v>130</v>
      </c>
    </row>
    <row r="34" customFormat="false" ht="30" hidden="false" customHeight="true" outlineLevel="0" collapsed="false">
      <c r="B34" s="38" t="s">
        <v>131</v>
      </c>
    </row>
    <row r="35" customFormat="false" ht="30" hidden="false" customHeight="true" outlineLevel="0" collapsed="false">
      <c r="B35" s="38" t="s">
        <v>132</v>
      </c>
    </row>
    <row r="37" customFormat="false" ht="16.5" hidden="false" customHeight="true" outlineLevel="0" collapsed="false">
      <c r="B37" s="39" t="s">
        <v>133</v>
      </c>
      <c r="C37" s="39"/>
      <c r="D37" s="39"/>
      <c r="E37" s="39"/>
      <c r="F37" s="39"/>
    </row>
    <row r="39" customFormat="false" ht="27.75" hidden="false" customHeight="true" outlineLevel="0" collapsed="false">
      <c r="B39" s="12" t="s">
        <v>134</v>
      </c>
      <c r="C39" s="12"/>
      <c r="D39" s="12"/>
      <c r="E39" s="12"/>
      <c r="F39" s="12"/>
    </row>
    <row r="41" customFormat="false" ht="52.5" hidden="false" customHeight="true" outlineLevel="0" collapsed="false">
      <c r="B41" s="12" t="s">
        <v>56</v>
      </c>
      <c r="C41" s="12"/>
      <c r="D41" s="12"/>
      <c r="E41" s="12"/>
      <c r="F41" s="12"/>
    </row>
  </sheetData>
  <mergeCells count="5">
    <mergeCell ref="A2:G2"/>
    <mergeCell ref="A3:G3"/>
    <mergeCell ref="B37:F37"/>
    <mergeCell ref="B39:F39"/>
    <mergeCell ref="B41:F41"/>
  </mergeCells>
  <dataValidations count="3">
    <dataValidation allowBlank="true" error="Wybierz wartość z listy." errorStyle="stop" errorTitle="Wartość spoza listy" operator="between" showDropDown="false" showErrorMessage="false" showInputMessage="false" sqref="D13" type="list">
      <formula1>'LISTY POMOCNICZE'!$I$8:$I$9</formula1>
      <formula2>0</formula2>
    </dataValidation>
    <dataValidation allowBlank="true" error="Podaj liczbę nie mniejszą niż 0." errorStyle="stop" errorTitle="Wartość nieprawidłowa" operator="greaterThanOrEqual" showDropDown="false" showErrorMessage="false" showInputMessage="false" sqref="D7:D10 D12 D14 D17" type="decimal">
      <formula1>0</formula1>
      <formula2>0</formula2>
    </dataValidation>
    <dataValidation allowBlank="true" error="Podaj wartość od 0% do 100%." errorStyle="stop" errorTitle="Procent poza zakresem" operator="between" showDropDown="false" showErrorMessage="false" showInputMessage="false" sqref="D11 D15:D16" type="decimal">
      <formula1>0</formula1>
      <formula2>1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true"/>
  </sheetPr>
  <dimension ref="A1:G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42"/>
    <col collapsed="false" customWidth="true" hidden="false" outlineLevel="0" max="3" min="3" style="0" width="8"/>
    <col collapsed="false" customWidth="true" hidden="false" outlineLevel="0" max="4" min="4" style="0" width="18"/>
    <col collapsed="false" customWidth="true" hidden="false" outlineLevel="0" max="5" min="5" style="0" width="20"/>
    <col collapsed="false" customWidth="true" hidden="false" outlineLevel="0" max="6" min="6" style="0" width="26"/>
    <col collapsed="false" customWidth="true" hidden="false" outlineLevel="0" max="7" min="7" style="0" width="64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135</v>
      </c>
      <c r="B2" s="22"/>
      <c r="C2" s="22"/>
      <c r="D2" s="22"/>
      <c r="E2" s="22"/>
      <c r="F2" s="22"/>
      <c r="G2" s="22"/>
    </row>
    <row r="3" customFormat="false" ht="16.5" hidden="false" customHeight="true" outlineLevel="0" collapsed="false">
      <c r="A3" s="23" t="s">
        <v>136</v>
      </c>
      <c r="B3" s="23"/>
      <c r="C3" s="23"/>
      <c r="D3" s="23"/>
      <c r="E3" s="23"/>
      <c r="F3" s="23"/>
      <c r="G3" s="23"/>
    </row>
    <row r="5" customFormat="false" ht="19.5" hidden="false" customHeight="true" outlineLevel="0" collapsed="false">
      <c r="A5" s="4" t="s">
        <v>137</v>
      </c>
      <c r="B5" s="5"/>
      <c r="C5" s="5"/>
      <c r="D5" s="5"/>
      <c r="E5" s="5"/>
      <c r="F5" s="5"/>
      <c r="G5" s="5"/>
    </row>
    <row r="6" customFormat="false" ht="42" hidden="false" customHeight="true" outlineLevel="0" collapsed="false">
      <c r="A6" s="24" t="s">
        <v>64</v>
      </c>
      <c r="B6" s="24" t="s">
        <v>65</v>
      </c>
      <c r="C6" s="24" t="s">
        <v>66</v>
      </c>
      <c r="D6" s="24" t="s">
        <v>67</v>
      </c>
      <c r="E6" s="24" t="s">
        <v>138</v>
      </c>
      <c r="F6" s="24" t="s">
        <v>139</v>
      </c>
      <c r="G6" s="24" t="s">
        <v>68</v>
      </c>
    </row>
    <row r="7" customFormat="false" ht="21.75" hidden="false" customHeight="true" outlineLevel="0" collapsed="false">
      <c r="A7" s="25" t="s">
        <v>140</v>
      </c>
      <c r="B7" s="26" t="s">
        <v>141</v>
      </c>
      <c r="C7" s="27" t="s">
        <v>93</v>
      </c>
      <c r="D7" s="33"/>
      <c r="E7" s="25" t="s">
        <v>142</v>
      </c>
      <c r="F7" s="33"/>
      <c r="G7" s="29" t="s">
        <v>143</v>
      </c>
    </row>
    <row r="8" customFormat="false" ht="21.75" hidden="false" customHeight="true" outlineLevel="0" collapsed="false">
      <c r="A8" s="25" t="s">
        <v>144</v>
      </c>
      <c r="B8" s="26" t="s">
        <v>145</v>
      </c>
      <c r="C8" s="27" t="s">
        <v>93</v>
      </c>
      <c r="D8" s="33"/>
      <c r="E8" s="25" t="s">
        <v>142</v>
      </c>
      <c r="F8" s="33"/>
      <c r="G8" s="29" t="s">
        <v>146</v>
      </c>
    </row>
    <row r="9" customFormat="false" ht="21.75" hidden="false" customHeight="true" outlineLevel="0" collapsed="false">
      <c r="A9" s="25" t="s">
        <v>147</v>
      </c>
      <c r="B9" s="26" t="s">
        <v>148</v>
      </c>
      <c r="C9" s="27" t="s">
        <v>93</v>
      </c>
      <c r="D9" s="33"/>
      <c r="E9" s="25" t="s">
        <v>142</v>
      </c>
      <c r="F9" s="33"/>
      <c r="G9" s="29" t="s">
        <v>149</v>
      </c>
    </row>
    <row r="10" customFormat="false" ht="21.75" hidden="false" customHeight="true" outlineLevel="0" collapsed="false">
      <c r="A10" s="25" t="s">
        <v>150</v>
      </c>
      <c r="B10" s="26" t="s">
        <v>151</v>
      </c>
      <c r="C10" s="27" t="s">
        <v>93</v>
      </c>
      <c r="D10" s="33"/>
      <c r="E10" s="25" t="s">
        <v>142</v>
      </c>
      <c r="F10" s="33"/>
      <c r="G10" s="29" t="s">
        <v>152</v>
      </c>
    </row>
    <row r="11" customFormat="false" ht="21.75" hidden="false" customHeight="true" outlineLevel="0" collapsed="false">
      <c r="A11" s="25" t="s">
        <v>153</v>
      </c>
      <c r="B11" s="26" t="s">
        <v>154</v>
      </c>
      <c r="C11" s="27" t="s">
        <v>155</v>
      </c>
      <c r="D11" s="28"/>
      <c r="E11" s="25" t="s">
        <v>142</v>
      </c>
      <c r="F11" s="33"/>
      <c r="G11" s="29" t="s">
        <v>156</v>
      </c>
    </row>
    <row r="12" customFormat="false" ht="21.75" hidden="false" customHeight="true" outlineLevel="0" collapsed="false">
      <c r="A12" s="25" t="s">
        <v>157</v>
      </c>
      <c r="B12" s="26" t="s">
        <v>158</v>
      </c>
      <c r="C12" s="27" t="s">
        <v>71</v>
      </c>
      <c r="D12" s="28"/>
      <c r="E12" s="25" t="s">
        <v>142</v>
      </c>
      <c r="F12" s="33"/>
      <c r="G12" s="29" t="s">
        <v>159</v>
      </c>
    </row>
    <row r="13" customFormat="false" ht="21.75" hidden="false" customHeight="true" outlineLevel="0" collapsed="false">
      <c r="A13" s="25" t="s">
        <v>160</v>
      </c>
      <c r="B13" s="26" t="s">
        <v>161</v>
      </c>
      <c r="C13" s="27" t="s">
        <v>162</v>
      </c>
      <c r="D13" s="30"/>
      <c r="E13" s="25" t="s">
        <v>142</v>
      </c>
      <c r="F13" s="33"/>
      <c r="G13" s="29" t="s">
        <v>163</v>
      </c>
    </row>
    <row r="14" customFormat="false" ht="21.75" hidden="false" customHeight="true" outlineLevel="0" collapsed="false">
      <c r="A14" s="25" t="s">
        <v>164</v>
      </c>
      <c r="B14" s="26" t="s">
        <v>165</v>
      </c>
      <c r="C14" s="27" t="s">
        <v>75</v>
      </c>
      <c r="D14" s="30"/>
      <c r="E14" s="25" t="s">
        <v>142</v>
      </c>
      <c r="F14" s="33"/>
      <c r="G14" s="29" t="s">
        <v>166</v>
      </c>
    </row>
    <row r="15" customFormat="false" ht="21.75" hidden="false" customHeight="true" outlineLevel="0" collapsed="false">
      <c r="A15" s="25" t="s">
        <v>167</v>
      </c>
      <c r="B15" s="26" t="s">
        <v>168</v>
      </c>
      <c r="C15" s="27" t="s">
        <v>155</v>
      </c>
      <c r="D15" s="30"/>
      <c r="E15" s="25" t="s">
        <v>142</v>
      </c>
      <c r="F15" s="33"/>
      <c r="G15" s="29" t="s">
        <v>169</v>
      </c>
    </row>
    <row r="16" customFormat="false" ht="21.75" hidden="false" customHeight="true" outlineLevel="0" collapsed="false">
      <c r="A16" s="25" t="s">
        <v>170</v>
      </c>
      <c r="B16" s="26" t="s">
        <v>171</v>
      </c>
      <c r="C16" s="27" t="s">
        <v>162</v>
      </c>
      <c r="D16" s="30"/>
      <c r="E16" s="25" t="s">
        <v>142</v>
      </c>
      <c r="F16" s="33"/>
      <c r="G16" s="29" t="s">
        <v>172</v>
      </c>
    </row>
    <row r="17" customFormat="false" ht="21.75" hidden="false" customHeight="true" outlineLevel="0" collapsed="false">
      <c r="A17" s="25" t="s">
        <v>173</v>
      </c>
      <c r="B17" s="26" t="s">
        <v>174</v>
      </c>
      <c r="C17" s="27" t="s">
        <v>75</v>
      </c>
      <c r="D17" s="34" t="str">
        <f aca="false">IF(OR($D$16="",$D$14=""),"",ROUND($D$16*$D$14,1))</f>
        <v/>
      </c>
      <c r="E17" s="25" t="s">
        <v>175</v>
      </c>
      <c r="F17" s="33"/>
      <c r="G17" s="29" t="s">
        <v>176</v>
      </c>
    </row>
    <row r="18" customFormat="false" ht="21.75" hidden="false" customHeight="true" outlineLevel="0" collapsed="false">
      <c r="A18" s="25" t="s">
        <v>177</v>
      </c>
      <c r="B18" s="36" t="s">
        <v>88</v>
      </c>
      <c r="C18" s="27" t="s">
        <v>89</v>
      </c>
      <c r="D18" s="40"/>
      <c r="E18" s="25" t="s">
        <v>142</v>
      </c>
      <c r="F18" s="33"/>
      <c r="G18" s="29" t="s">
        <v>178</v>
      </c>
    </row>
    <row r="19" customFormat="false" ht="21.75" hidden="false" customHeight="true" outlineLevel="0" collapsed="false">
      <c r="A19" s="25" t="s">
        <v>179</v>
      </c>
      <c r="B19" s="26" t="s">
        <v>180</v>
      </c>
      <c r="C19" s="27" t="s">
        <v>93</v>
      </c>
      <c r="D19" s="33"/>
      <c r="E19" s="25" t="s">
        <v>142</v>
      </c>
      <c r="F19" s="33"/>
      <c r="G19" s="29" t="s">
        <v>181</v>
      </c>
    </row>
    <row r="20" customFormat="false" ht="21.75" hidden="false" customHeight="true" outlineLevel="0" collapsed="false">
      <c r="A20" s="25" t="s">
        <v>182</v>
      </c>
      <c r="B20" s="26" t="s">
        <v>183</v>
      </c>
      <c r="C20" s="27" t="s">
        <v>106</v>
      </c>
      <c r="D20" s="32"/>
      <c r="E20" s="25" t="s">
        <v>142</v>
      </c>
      <c r="F20" s="33"/>
      <c r="G20" s="29"/>
    </row>
    <row r="21" customFormat="false" ht="21.75" hidden="false" customHeight="true" outlineLevel="0" collapsed="false">
      <c r="A21" s="25" t="s">
        <v>184</v>
      </c>
      <c r="B21" s="26" t="s">
        <v>185</v>
      </c>
      <c r="C21" s="27" t="s">
        <v>85</v>
      </c>
      <c r="D21" s="41"/>
      <c r="E21" s="25" t="s">
        <v>142</v>
      </c>
      <c r="F21" s="33"/>
      <c r="G21" s="29" t="s">
        <v>186</v>
      </c>
    </row>
    <row r="22" customFormat="false" ht="21.75" hidden="false" customHeight="true" outlineLevel="0" collapsed="false">
      <c r="A22" s="25" t="s">
        <v>187</v>
      </c>
      <c r="B22" s="26" t="s">
        <v>188</v>
      </c>
      <c r="C22" s="27" t="s">
        <v>75</v>
      </c>
      <c r="D22" s="30"/>
      <c r="E22" s="25" t="s">
        <v>142</v>
      </c>
      <c r="F22" s="33"/>
      <c r="G22" s="29" t="s">
        <v>189</v>
      </c>
    </row>
    <row r="23" customFormat="false" ht="21.75" hidden="false" customHeight="true" outlineLevel="0" collapsed="false">
      <c r="A23" s="25" t="s">
        <v>190</v>
      </c>
      <c r="B23" s="26" t="s">
        <v>191</v>
      </c>
      <c r="C23" s="27" t="s">
        <v>89</v>
      </c>
      <c r="D23" s="35" t="str">
        <f aca="false">IF(OR($D$20="",$D$22="",$D$22=0),"",ROUND($D$20*(1+$D$21)/$D$22,2))</f>
        <v/>
      </c>
      <c r="E23" s="25" t="s">
        <v>175</v>
      </c>
      <c r="F23" s="33"/>
      <c r="G23" s="29" t="s">
        <v>192</v>
      </c>
    </row>
    <row r="24" customFormat="false" ht="21.75" hidden="false" customHeight="true" outlineLevel="0" collapsed="false">
      <c r="A24" s="25" t="s">
        <v>193</v>
      </c>
      <c r="B24" s="26" t="s">
        <v>194</v>
      </c>
      <c r="C24" s="27" t="s">
        <v>93</v>
      </c>
      <c r="D24" s="33"/>
      <c r="E24" s="25" t="s">
        <v>142</v>
      </c>
      <c r="F24" s="33"/>
      <c r="G24" s="29" t="s">
        <v>195</v>
      </c>
    </row>
    <row r="25" customFormat="false" ht="21.75" hidden="false" customHeight="true" outlineLevel="0" collapsed="false">
      <c r="A25" s="25" t="s">
        <v>196</v>
      </c>
      <c r="B25" s="26" t="s">
        <v>197</v>
      </c>
      <c r="C25" s="27" t="s">
        <v>85</v>
      </c>
      <c r="D25" s="41"/>
      <c r="E25" s="25" t="s">
        <v>198</v>
      </c>
      <c r="F25" s="33"/>
      <c r="G25" s="29" t="s">
        <v>199</v>
      </c>
    </row>
    <row r="26" customFormat="false" ht="21.75" hidden="false" customHeight="true" outlineLevel="0" collapsed="false">
      <c r="A26" s="25" t="s">
        <v>200</v>
      </c>
      <c r="B26" s="26" t="s">
        <v>201</v>
      </c>
      <c r="C26" s="27" t="s">
        <v>93</v>
      </c>
      <c r="D26" s="42" t="s">
        <v>202</v>
      </c>
      <c r="E26" s="25" t="s">
        <v>175</v>
      </c>
      <c r="F26" s="33"/>
      <c r="G26" s="29" t="s">
        <v>203</v>
      </c>
    </row>
    <row r="28" customFormat="false" ht="19.5" hidden="false" customHeight="true" outlineLevel="0" collapsed="false">
      <c r="A28" s="4" t="s">
        <v>204</v>
      </c>
      <c r="B28" s="5"/>
      <c r="C28" s="5"/>
      <c r="D28" s="5"/>
      <c r="E28" s="5"/>
      <c r="F28" s="5"/>
      <c r="G28" s="5"/>
    </row>
    <row r="29" customFormat="false" ht="30" hidden="false" customHeight="true" outlineLevel="0" collapsed="false">
      <c r="B29" s="43" t="s">
        <v>205</v>
      </c>
      <c r="C29" s="43"/>
      <c r="D29" s="43"/>
      <c r="E29" s="43"/>
      <c r="F29" s="43"/>
    </row>
    <row r="31" customFormat="false" ht="16.5" hidden="false" customHeight="true" outlineLevel="0" collapsed="false">
      <c r="B31" s="44" t="s">
        <v>206</v>
      </c>
      <c r="C31" s="44"/>
      <c r="D31" s="44"/>
      <c r="E31" s="44"/>
      <c r="F31" s="44"/>
    </row>
  </sheetData>
  <mergeCells count="4">
    <mergeCell ref="A2:G2"/>
    <mergeCell ref="A3:G3"/>
    <mergeCell ref="B29:F29"/>
    <mergeCell ref="B31:F31"/>
  </mergeCells>
  <dataValidations count="5">
    <dataValidation allowBlank="true" error="Wybierz wartość z listy." errorStyle="stop" errorTitle="Wartość spoza listy" operator="between" showDropDown="false" showErrorMessage="false" showInputMessage="false" sqref="D9" type="list">
      <formula1>'LISTY POMOCNICZE'!$C$8:$C$14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D10" type="list">
      <formula1>'LISTY POMOCNICZE'!$A$8:$A$9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D24" type="list">
      <formula1>'LISTY POMOCNICZE'!$B$8:$B$9</formula1>
      <formula2>0</formula2>
    </dataValidation>
    <dataValidation allowBlank="true" error="Podaj liczbę nie mniejszą niż 0." errorStyle="stop" errorTitle="Wartość nieprawidłowa" operator="greaterThanOrEqual" showDropDown="false" showErrorMessage="false" showInputMessage="false" sqref="D11:D16 D18 D20 D22" type="decimal">
      <formula1>0</formula1>
      <formula2>0</formula2>
    </dataValidation>
    <dataValidation allowBlank="true" error="Podaj wartość od 0% do 300%." errorStyle="stop" errorTitle="Procent poza zakresem" operator="between" showDropDown="false" showErrorMessage="false" showInputMessage="false" sqref="D21 D25" type="decimal">
      <formula1>0</formula1>
      <formula2>3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false"/>
  </sheetPr>
  <dimension ref="A1:AC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18"/>
    <col collapsed="false" customWidth="true" hidden="false" outlineLevel="0" max="5" min="5" style="0" width="10"/>
    <col collapsed="false" customWidth="true" hidden="false" outlineLevel="0" max="6" min="6" style="0" width="11"/>
    <col collapsed="false" customWidth="true" hidden="false" outlineLevel="0" max="7" min="7" style="0" width="15"/>
    <col collapsed="false" customWidth="true" hidden="false" outlineLevel="0" max="8" min="8" style="0" width="13"/>
    <col collapsed="false" customWidth="true" hidden="false" outlineLevel="0" max="9" min="9" style="0" width="11"/>
    <col collapsed="false" customWidth="true" hidden="false" outlineLevel="0" max="10" min="10" style="0" width="13"/>
    <col collapsed="false" customWidth="true" hidden="false" outlineLevel="0" max="12" min="11" style="0" width="12"/>
    <col collapsed="false" customWidth="true" hidden="false" outlineLevel="0" max="14" min="13" style="0" width="14"/>
    <col collapsed="false" customWidth="true" hidden="false" outlineLevel="0" max="15" min="15" style="0" width="17"/>
    <col collapsed="false" customWidth="true" hidden="false" outlineLevel="0" max="18" min="16" style="0" width="13"/>
    <col collapsed="false" customWidth="true" hidden="false" outlineLevel="0" max="20" min="19" style="0" width="14"/>
    <col collapsed="false" customWidth="true" hidden="false" outlineLevel="0" max="21" min="21" style="0" width="10"/>
    <col collapsed="false" customWidth="true" hidden="false" outlineLevel="0" max="23" min="22" style="0" width="8"/>
    <col collapsed="false" customWidth="true" hidden="false" outlineLevel="0" max="24" min="24" style="0" width="26"/>
    <col collapsed="false" customWidth="true" hidden="false" outlineLevel="0" max="25" min="25" style="0" width="24"/>
    <col collapsed="false" customWidth="true" hidden="false" outlineLevel="0" max="26" min="26" style="0" width="26"/>
    <col collapsed="false" customWidth="true" hidden="false" outlineLevel="0" max="27" min="27" style="0" width="24"/>
    <col collapsed="false" customWidth="true" hidden="false" outlineLevel="0" max="28" min="28" style="0" width="18"/>
    <col collapsed="false" customWidth="true" hidden="false" outlineLevel="0" max="29" min="29" style="0" width="22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207</v>
      </c>
      <c r="B2" s="22"/>
      <c r="C2" s="22"/>
      <c r="D2" s="22"/>
      <c r="E2" s="22"/>
      <c r="F2" s="22"/>
      <c r="G2" s="22"/>
      <c r="H2" s="22"/>
    </row>
    <row r="3" customFormat="false" ht="30" hidden="false" customHeight="true" outlineLevel="0" collapsed="false">
      <c r="A3" s="23" t="s">
        <v>208</v>
      </c>
      <c r="B3" s="23"/>
      <c r="C3" s="23"/>
      <c r="D3" s="23"/>
      <c r="E3" s="23"/>
      <c r="F3" s="23"/>
      <c r="G3" s="23"/>
      <c r="H3" s="23"/>
    </row>
    <row r="4" customFormat="false" ht="19.5" hidden="false" customHeight="true" outlineLevel="0" collapsed="false">
      <c r="A4" s="4" t="s">
        <v>209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42" hidden="false" customHeight="true" outlineLevel="0" collapsed="false">
      <c r="A5" s="24" t="s">
        <v>64</v>
      </c>
      <c r="B5" s="24" t="s">
        <v>210</v>
      </c>
      <c r="C5" s="24" t="s">
        <v>211</v>
      </c>
      <c r="D5" s="24" t="s">
        <v>212</v>
      </c>
      <c r="E5" s="24" t="s">
        <v>213</v>
      </c>
      <c r="F5" s="24" t="s">
        <v>214</v>
      </c>
      <c r="G5" s="24" t="s">
        <v>215</v>
      </c>
      <c r="H5" s="24" t="s">
        <v>216</v>
      </c>
      <c r="I5" s="24" t="s">
        <v>217</v>
      </c>
      <c r="J5" s="24" t="s">
        <v>218</v>
      </c>
      <c r="K5" s="24" t="s">
        <v>219</v>
      </c>
      <c r="L5" s="24" t="s">
        <v>220</v>
      </c>
      <c r="M5" s="24" t="s">
        <v>221</v>
      </c>
      <c r="N5" s="24" t="s">
        <v>222</v>
      </c>
      <c r="O5" s="24" t="s">
        <v>223</v>
      </c>
      <c r="P5" s="24" t="s">
        <v>224</v>
      </c>
      <c r="Q5" s="24" t="s">
        <v>225</v>
      </c>
      <c r="R5" s="24" t="s">
        <v>226</v>
      </c>
      <c r="S5" s="24" t="s">
        <v>227</v>
      </c>
      <c r="T5" s="24" t="s">
        <v>228</v>
      </c>
      <c r="U5" s="24" t="s">
        <v>229</v>
      </c>
      <c r="V5" s="24" t="s">
        <v>230</v>
      </c>
      <c r="W5" s="24" t="s">
        <v>231</v>
      </c>
      <c r="X5" s="24" t="s">
        <v>232</v>
      </c>
      <c r="Y5" s="24" t="s">
        <v>233</v>
      </c>
      <c r="Z5" s="24" t="s">
        <v>234</v>
      </c>
      <c r="AA5" s="24" t="s">
        <v>235</v>
      </c>
      <c r="AB5" s="24" t="s">
        <v>138</v>
      </c>
      <c r="AC5" s="24" t="s">
        <v>139</v>
      </c>
    </row>
    <row r="6" customFormat="false" ht="21.75" hidden="false" customHeight="true" outlineLevel="0" collapsed="false">
      <c r="A6" s="45" t="s">
        <v>236</v>
      </c>
      <c r="B6" s="33"/>
      <c r="C6" s="33"/>
      <c r="D6" s="33"/>
      <c r="E6" s="28"/>
      <c r="F6" s="30"/>
      <c r="G6" s="33"/>
      <c r="H6" s="32"/>
      <c r="I6" s="31"/>
      <c r="J6" s="30"/>
      <c r="K6" s="32"/>
      <c r="L6" s="31"/>
      <c r="M6" s="32"/>
      <c r="N6" s="32"/>
      <c r="O6" s="46" t="n">
        <f aca="false">IFERROR(IF($G6="Przychodowa",$H6*$I6,IF($G6="Jednostkowa",$J6*$K6,IF($G6="Billable",$L6*$M6,IF($G6="Ręczna",$N6,0)))),0)</f>
        <v>0</v>
      </c>
      <c r="P6" s="31"/>
      <c r="Q6" s="31"/>
      <c r="R6" s="31"/>
      <c r="S6" s="32"/>
      <c r="T6" s="35" t="n">
        <f aca="false">IF($S6="",IF('PROFIL FIRMY'!$D$18="",0,'PROFIL FIRMY'!$D$18),$S6)</f>
        <v>0</v>
      </c>
      <c r="U6" s="30"/>
      <c r="V6" s="30"/>
      <c r="W6" s="30"/>
      <c r="X6" s="33"/>
      <c r="Y6" s="33"/>
      <c r="Z6" s="33"/>
      <c r="AA6" s="33"/>
      <c r="AB6" s="33"/>
      <c r="AC6" s="33"/>
    </row>
    <row r="7" customFormat="false" ht="21.75" hidden="false" customHeight="true" outlineLevel="0" collapsed="false">
      <c r="A7" s="45" t="s">
        <v>237</v>
      </c>
      <c r="B7" s="33"/>
      <c r="C7" s="33"/>
      <c r="D7" s="33"/>
      <c r="E7" s="28"/>
      <c r="F7" s="30"/>
      <c r="G7" s="33"/>
      <c r="H7" s="32"/>
      <c r="I7" s="31"/>
      <c r="J7" s="30"/>
      <c r="K7" s="32"/>
      <c r="L7" s="31"/>
      <c r="M7" s="32"/>
      <c r="N7" s="32"/>
      <c r="O7" s="46" t="n">
        <f aca="false">IFERROR(IF($G7="Przychodowa",$H7*$I7,IF($G7="Jednostkowa",$J7*$K7,IF($G7="Billable",$L7*$M7,IF($G7="Ręczna",$N7,0)))),0)</f>
        <v>0</v>
      </c>
      <c r="P7" s="31"/>
      <c r="Q7" s="31"/>
      <c r="R7" s="31"/>
      <c r="S7" s="32"/>
      <c r="T7" s="35" t="n">
        <f aca="false">IF($S7="",IF('PROFIL FIRMY'!$D$18="",0,'PROFIL FIRMY'!$D$18),$S7)</f>
        <v>0</v>
      </c>
      <c r="U7" s="30"/>
      <c r="V7" s="30"/>
      <c r="W7" s="30"/>
      <c r="X7" s="33"/>
      <c r="Y7" s="33"/>
      <c r="Z7" s="33"/>
      <c r="AA7" s="33"/>
      <c r="AB7" s="33"/>
      <c r="AC7" s="33"/>
    </row>
    <row r="8" customFormat="false" ht="21.75" hidden="false" customHeight="true" outlineLevel="0" collapsed="false">
      <c r="A8" s="45" t="s">
        <v>238</v>
      </c>
      <c r="B8" s="33"/>
      <c r="C8" s="33"/>
      <c r="D8" s="33"/>
      <c r="E8" s="28"/>
      <c r="F8" s="30"/>
      <c r="G8" s="33"/>
      <c r="H8" s="32"/>
      <c r="I8" s="31"/>
      <c r="J8" s="30"/>
      <c r="K8" s="32"/>
      <c r="L8" s="31"/>
      <c r="M8" s="32"/>
      <c r="N8" s="32"/>
      <c r="O8" s="46" t="n">
        <f aca="false">IFERROR(IF($G8="Przychodowa",$H8*$I8,IF($G8="Jednostkowa",$J8*$K8,IF($G8="Billable",$L8*$M8,IF($G8="Ręczna",$N8,0)))),0)</f>
        <v>0</v>
      </c>
      <c r="P8" s="31"/>
      <c r="Q8" s="31"/>
      <c r="R8" s="31"/>
      <c r="S8" s="32"/>
      <c r="T8" s="35" t="n">
        <f aca="false">IF($S8="",IF('PROFIL FIRMY'!$D$18="",0,'PROFIL FIRMY'!$D$18),$S8)</f>
        <v>0</v>
      </c>
      <c r="U8" s="30"/>
      <c r="V8" s="30"/>
      <c r="W8" s="30"/>
      <c r="X8" s="33"/>
      <c r="Y8" s="33"/>
      <c r="Z8" s="33"/>
      <c r="AA8" s="33"/>
      <c r="AB8" s="33"/>
      <c r="AC8" s="33"/>
    </row>
    <row r="9" customFormat="false" ht="21.75" hidden="false" customHeight="true" outlineLevel="0" collapsed="false">
      <c r="A9" s="45" t="s">
        <v>239</v>
      </c>
      <c r="B9" s="33"/>
      <c r="C9" s="33"/>
      <c r="D9" s="33"/>
      <c r="E9" s="28"/>
      <c r="F9" s="30"/>
      <c r="G9" s="33"/>
      <c r="H9" s="32"/>
      <c r="I9" s="31"/>
      <c r="J9" s="30"/>
      <c r="K9" s="32"/>
      <c r="L9" s="31"/>
      <c r="M9" s="32"/>
      <c r="N9" s="32"/>
      <c r="O9" s="46" t="n">
        <f aca="false">IFERROR(IF($G9="Przychodowa",$H9*$I9,IF($G9="Jednostkowa",$J9*$K9,IF($G9="Billable",$L9*$M9,IF($G9="Ręczna",$N9,0)))),0)</f>
        <v>0</v>
      </c>
      <c r="P9" s="31"/>
      <c r="Q9" s="31"/>
      <c r="R9" s="31"/>
      <c r="S9" s="32"/>
      <c r="T9" s="35" t="n">
        <f aca="false">IF($S9="",IF('PROFIL FIRMY'!$D$18="",0,'PROFIL FIRMY'!$D$18),$S9)</f>
        <v>0</v>
      </c>
      <c r="U9" s="30"/>
      <c r="V9" s="30"/>
      <c r="W9" s="30"/>
      <c r="X9" s="33"/>
      <c r="Y9" s="33"/>
      <c r="Z9" s="33"/>
      <c r="AA9" s="33"/>
      <c r="AB9" s="33"/>
      <c r="AC9" s="33"/>
    </row>
    <row r="10" customFormat="false" ht="21.75" hidden="false" customHeight="true" outlineLevel="0" collapsed="false">
      <c r="A10" s="45" t="s">
        <v>240</v>
      </c>
      <c r="B10" s="33"/>
      <c r="C10" s="33"/>
      <c r="D10" s="33"/>
      <c r="E10" s="28"/>
      <c r="F10" s="30"/>
      <c r="G10" s="33"/>
      <c r="H10" s="32"/>
      <c r="I10" s="31"/>
      <c r="J10" s="30"/>
      <c r="K10" s="32"/>
      <c r="L10" s="31"/>
      <c r="M10" s="32"/>
      <c r="N10" s="32"/>
      <c r="O10" s="46" t="n">
        <f aca="false">IFERROR(IF($G10="Przychodowa",$H10*$I10,IF($G10="Jednostkowa",$J10*$K10,IF($G10="Billable",$L10*$M10,IF($G10="Ręczna",$N10,0)))),0)</f>
        <v>0</v>
      </c>
      <c r="P10" s="31"/>
      <c r="Q10" s="31"/>
      <c r="R10" s="31"/>
      <c r="S10" s="32"/>
      <c r="T10" s="35" t="n">
        <f aca="false">IF($S10="",IF('PROFIL FIRMY'!$D$18="",0,'PROFIL FIRMY'!$D$18),$S10)</f>
        <v>0</v>
      </c>
      <c r="U10" s="30"/>
      <c r="V10" s="30"/>
      <c r="W10" s="30"/>
      <c r="X10" s="33"/>
      <c r="Y10" s="33"/>
      <c r="Z10" s="33"/>
      <c r="AA10" s="33"/>
      <c r="AB10" s="33"/>
      <c r="AC10" s="33"/>
    </row>
    <row r="11" customFormat="false" ht="21.75" hidden="false" customHeight="true" outlineLevel="0" collapsed="false">
      <c r="A11" s="45" t="s">
        <v>241</v>
      </c>
      <c r="B11" s="33"/>
      <c r="C11" s="33"/>
      <c r="D11" s="33"/>
      <c r="E11" s="28"/>
      <c r="F11" s="30"/>
      <c r="G11" s="33"/>
      <c r="H11" s="32"/>
      <c r="I11" s="31"/>
      <c r="J11" s="30"/>
      <c r="K11" s="32"/>
      <c r="L11" s="31"/>
      <c r="M11" s="32"/>
      <c r="N11" s="32"/>
      <c r="O11" s="46" t="n">
        <f aca="false">IFERROR(IF($G11="Przychodowa",$H11*$I11,IF($G11="Jednostkowa",$J11*$K11,IF($G11="Billable",$L11*$M11,IF($G11="Ręczna",$N11,0)))),0)</f>
        <v>0</v>
      </c>
      <c r="P11" s="31"/>
      <c r="Q11" s="31"/>
      <c r="R11" s="31"/>
      <c r="S11" s="32"/>
      <c r="T11" s="35" t="n">
        <f aca="false">IF($S11="",IF('PROFIL FIRMY'!$D$18="",0,'PROFIL FIRMY'!$D$18),$S11)</f>
        <v>0</v>
      </c>
      <c r="U11" s="30"/>
      <c r="V11" s="30"/>
      <c r="W11" s="30"/>
      <c r="X11" s="33"/>
      <c r="Y11" s="33"/>
      <c r="Z11" s="33"/>
      <c r="AA11" s="33"/>
      <c r="AB11" s="33"/>
      <c r="AC11" s="33"/>
    </row>
    <row r="12" customFormat="false" ht="21.75" hidden="false" customHeight="true" outlineLevel="0" collapsed="false">
      <c r="A12" s="45" t="s">
        <v>242</v>
      </c>
      <c r="B12" s="33"/>
      <c r="C12" s="33"/>
      <c r="D12" s="33"/>
      <c r="E12" s="28"/>
      <c r="F12" s="30"/>
      <c r="G12" s="33"/>
      <c r="H12" s="32"/>
      <c r="I12" s="31"/>
      <c r="J12" s="30"/>
      <c r="K12" s="32"/>
      <c r="L12" s="31"/>
      <c r="M12" s="32"/>
      <c r="N12" s="32"/>
      <c r="O12" s="46" t="n">
        <f aca="false">IFERROR(IF($G12="Przychodowa",$H12*$I12,IF($G12="Jednostkowa",$J12*$K12,IF($G12="Billable",$L12*$M12,IF($G12="Ręczna",$N12,0)))),0)</f>
        <v>0</v>
      </c>
      <c r="P12" s="31"/>
      <c r="Q12" s="31"/>
      <c r="R12" s="31"/>
      <c r="S12" s="32"/>
      <c r="T12" s="35" t="n">
        <f aca="false">IF($S12="",IF('PROFIL FIRMY'!$D$18="",0,'PROFIL FIRMY'!$D$18),$S12)</f>
        <v>0</v>
      </c>
      <c r="U12" s="30"/>
      <c r="V12" s="30"/>
      <c r="W12" s="30"/>
      <c r="X12" s="33"/>
      <c r="Y12" s="33"/>
      <c r="Z12" s="33"/>
      <c r="AA12" s="33"/>
      <c r="AB12" s="33"/>
      <c r="AC12" s="33"/>
    </row>
    <row r="13" customFormat="false" ht="21.75" hidden="false" customHeight="true" outlineLevel="0" collapsed="false">
      <c r="A13" s="45" t="s">
        <v>243</v>
      </c>
      <c r="B13" s="33"/>
      <c r="C13" s="33"/>
      <c r="D13" s="33"/>
      <c r="E13" s="28"/>
      <c r="F13" s="30"/>
      <c r="G13" s="33"/>
      <c r="H13" s="32"/>
      <c r="I13" s="31"/>
      <c r="J13" s="30"/>
      <c r="K13" s="32"/>
      <c r="L13" s="31"/>
      <c r="M13" s="32"/>
      <c r="N13" s="32"/>
      <c r="O13" s="46" t="n">
        <f aca="false">IFERROR(IF($G13="Przychodowa",$H13*$I13,IF($G13="Jednostkowa",$J13*$K13,IF($G13="Billable",$L13*$M13,IF($G13="Ręczna",$N13,0)))),0)</f>
        <v>0</v>
      </c>
      <c r="P13" s="31"/>
      <c r="Q13" s="31"/>
      <c r="R13" s="31"/>
      <c r="S13" s="32"/>
      <c r="T13" s="35" t="n">
        <f aca="false">IF($S13="",IF('PROFIL FIRMY'!$D$18="",0,'PROFIL FIRMY'!$D$18),$S13)</f>
        <v>0</v>
      </c>
      <c r="U13" s="30"/>
      <c r="V13" s="30"/>
      <c r="W13" s="30"/>
      <c r="X13" s="33"/>
      <c r="Y13" s="33"/>
      <c r="Z13" s="33"/>
      <c r="AA13" s="33"/>
      <c r="AB13" s="33"/>
      <c r="AC13" s="33"/>
    </row>
    <row r="14" customFormat="false" ht="21.75" hidden="false" customHeight="true" outlineLevel="0" collapsed="false">
      <c r="A14" s="45" t="s">
        <v>244</v>
      </c>
      <c r="B14" s="33"/>
      <c r="C14" s="33"/>
      <c r="D14" s="33"/>
      <c r="E14" s="28"/>
      <c r="F14" s="30"/>
      <c r="G14" s="33"/>
      <c r="H14" s="32"/>
      <c r="I14" s="31"/>
      <c r="J14" s="30"/>
      <c r="K14" s="32"/>
      <c r="L14" s="31"/>
      <c r="M14" s="32"/>
      <c r="N14" s="32"/>
      <c r="O14" s="46" t="n">
        <f aca="false">IFERROR(IF($G14="Przychodowa",$H14*$I14,IF($G14="Jednostkowa",$J14*$K14,IF($G14="Billable",$L14*$M14,IF($G14="Ręczna",$N14,0)))),0)</f>
        <v>0</v>
      </c>
      <c r="P14" s="31"/>
      <c r="Q14" s="31"/>
      <c r="R14" s="31"/>
      <c r="S14" s="32"/>
      <c r="T14" s="35" t="n">
        <f aca="false">IF($S14="",IF('PROFIL FIRMY'!$D$18="",0,'PROFIL FIRMY'!$D$18),$S14)</f>
        <v>0</v>
      </c>
      <c r="U14" s="30"/>
      <c r="V14" s="30"/>
      <c r="W14" s="30"/>
      <c r="X14" s="33"/>
      <c r="Y14" s="33"/>
      <c r="Z14" s="33"/>
      <c r="AA14" s="33"/>
      <c r="AB14" s="33"/>
      <c r="AC14" s="33"/>
    </row>
    <row r="15" customFormat="false" ht="21.75" hidden="false" customHeight="true" outlineLevel="0" collapsed="false">
      <c r="A15" s="45" t="s">
        <v>245</v>
      </c>
      <c r="B15" s="33"/>
      <c r="C15" s="33"/>
      <c r="D15" s="33"/>
      <c r="E15" s="28"/>
      <c r="F15" s="30"/>
      <c r="G15" s="33"/>
      <c r="H15" s="32"/>
      <c r="I15" s="31"/>
      <c r="J15" s="30"/>
      <c r="K15" s="32"/>
      <c r="L15" s="31"/>
      <c r="M15" s="32"/>
      <c r="N15" s="32"/>
      <c r="O15" s="46" t="n">
        <f aca="false">IFERROR(IF($G15="Przychodowa",$H15*$I15,IF($G15="Jednostkowa",$J15*$K15,IF($G15="Billable",$L15*$M15,IF($G15="Ręczna",$N15,0)))),0)</f>
        <v>0</v>
      </c>
      <c r="P15" s="31"/>
      <c r="Q15" s="31"/>
      <c r="R15" s="31"/>
      <c r="S15" s="32"/>
      <c r="T15" s="35" t="n">
        <f aca="false">IF($S15="",IF('PROFIL FIRMY'!$D$18="",0,'PROFIL FIRMY'!$D$18),$S15)</f>
        <v>0</v>
      </c>
      <c r="U15" s="30"/>
      <c r="V15" s="30"/>
      <c r="W15" s="30"/>
      <c r="X15" s="33"/>
      <c r="Y15" s="33"/>
      <c r="Z15" s="33"/>
      <c r="AA15" s="33"/>
      <c r="AB15" s="33"/>
      <c r="AC15" s="33"/>
    </row>
    <row r="16" customFormat="false" ht="21.75" hidden="false" customHeight="true" outlineLevel="0" collapsed="false">
      <c r="A16" s="45" t="s">
        <v>246</v>
      </c>
      <c r="B16" s="33"/>
      <c r="C16" s="33"/>
      <c r="D16" s="33"/>
      <c r="E16" s="28"/>
      <c r="F16" s="30"/>
      <c r="G16" s="33"/>
      <c r="H16" s="32"/>
      <c r="I16" s="31"/>
      <c r="J16" s="30"/>
      <c r="K16" s="32"/>
      <c r="L16" s="31"/>
      <c r="M16" s="32"/>
      <c r="N16" s="32"/>
      <c r="O16" s="46" t="n">
        <f aca="false">IFERROR(IF($G16="Przychodowa",$H16*$I16,IF($G16="Jednostkowa",$J16*$K16,IF($G16="Billable",$L16*$M16,IF($G16="Ręczna",$N16,0)))),0)</f>
        <v>0</v>
      </c>
      <c r="P16" s="31"/>
      <c r="Q16" s="31"/>
      <c r="R16" s="31"/>
      <c r="S16" s="32"/>
      <c r="T16" s="35" t="n">
        <f aca="false">IF($S16="",IF('PROFIL FIRMY'!$D$18="",0,'PROFIL FIRMY'!$D$18),$S16)</f>
        <v>0</v>
      </c>
      <c r="U16" s="30"/>
      <c r="V16" s="30"/>
      <c r="W16" s="30"/>
      <c r="X16" s="33"/>
      <c r="Y16" s="33"/>
      <c r="Z16" s="33"/>
      <c r="AA16" s="33"/>
      <c r="AB16" s="33"/>
      <c r="AC16" s="33"/>
    </row>
    <row r="17" customFormat="false" ht="21.75" hidden="false" customHeight="true" outlineLevel="0" collapsed="false">
      <c r="A17" s="45" t="s">
        <v>247</v>
      </c>
      <c r="B17" s="33"/>
      <c r="C17" s="33"/>
      <c r="D17" s="33"/>
      <c r="E17" s="28"/>
      <c r="F17" s="30"/>
      <c r="G17" s="33"/>
      <c r="H17" s="32"/>
      <c r="I17" s="31"/>
      <c r="J17" s="30"/>
      <c r="K17" s="32"/>
      <c r="L17" s="31"/>
      <c r="M17" s="32"/>
      <c r="N17" s="32"/>
      <c r="O17" s="46" t="n">
        <f aca="false">IFERROR(IF($G17="Przychodowa",$H17*$I17,IF($G17="Jednostkowa",$J17*$K17,IF($G17="Billable",$L17*$M17,IF($G17="Ręczna",$N17,0)))),0)</f>
        <v>0</v>
      </c>
      <c r="P17" s="31"/>
      <c r="Q17" s="31"/>
      <c r="R17" s="31"/>
      <c r="S17" s="32"/>
      <c r="T17" s="35" t="n">
        <f aca="false">IF($S17="",IF('PROFIL FIRMY'!$D$18="",0,'PROFIL FIRMY'!$D$18),$S17)</f>
        <v>0</v>
      </c>
      <c r="U17" s="30"/>
      <c r="V17" s="30"/>
      <c r="W17" s="30"/>
      <c r="X17" s="33"/>
      <c r="Y17" s="33"/>
      <c r="Z17" s="33"/>
      <c r="AA17" s="33"/>
      <c r="AB17" s="33"/>
      <c r="AC17" s="33"/>
    </row>
    <row r="19" customFormat="false" ht="19.5" hidden="false" customHeight="true" outlineLevel="0" collapsed="false">
      <c r="A19" s="4" t="s">
        <v>248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customFormat="false" ht="16.5" hidden="false" customHeight="true" outlineLevel="0" collapsed="false">
      <c r="A20" s="47" t="s">
        <v>249</v>
      </c>
      <c r="B20" s="47"/>
      <c r="C20" s="47"/>
      <c r="D20" s="47"/>
      <c r="E20" s="47"/>
      <c r="F20" s="47"/>
      <c r="G20" s="47"/>
      <c r="H20" s="47"/>
    </row>
    <row r="21" customFormat="false" ht="16.5" hidden="false" customHeight="true" outlineLevel="0" collapsed="false">
      <c r="A21" s="47" t="s">
        <v>250</v>
      </c>
      <c r="B21" s="47"/>
      <c r="C21" s="47"/>
      <c r="D21" s="47"/>
      <c r="E21" s="47"/>
      <c r="F21" s="47"/>
      <c r="G21" s="47"/>
      <c r="H21" s="47"/>
    </row>
    <row r="22" customFormat="false" ht="16.5" hidden="false" customHeight="true" outlineLevel="0" collapsed="false">
      <c r="A22" s="47" t="s">
        <v>251</v>
      </c>
      <c r="B22" s="47"/>
      <c r="C22" s="47"/>
      <c r="D22" s="47"/>
      <c r="E22" s="47"/>
      <c r="F22" s="47"/>
      <c r="G22" s="47"/>
      <c r="H22" s="47"/>
    </row>
    <row r="23" customFormat="false" ht="30" hidden="false" customHeight="true" outlineLevel="0" collapsed="false">
      <c r="A23" s="47" t="s">
        <v>252</v>
      </c>
      <c r="B23" s="47"/>
      <c r="C23" s="47"/>
      <c r="D23" s="47"/>
      <c r="E23" s="47"/>
      <c r="F23" s="47"/>
      <c r="G23" s="47"/>
      <c r="H23" s="47"/>
    </row>
    <row r="24" customFormat="false" ht="30" hidden="false" customHeight="true" outlineLevel="0" collapsed="false">
      <c r="A24" s="47" t="s">
        <v>253</v>
      </c>
      <c r="B24" s="47"/>
      <c r="C24" s="47"/>
      <c r="D24" s="47"/>
      <c r="E24" s="47"/>
      <c r="F24" s="47"/>
      <c r="G24" s="47"/>
      <c r="H24" s="47"/>
    </row>
  </sheetData>
  <mergeCells count="7">
    <mergeCell ref="A2:H2"/>
    <mergeCell ref="A3:H3"/>
    <mergeCell ref="A20:H20"/>
    <mergeCell ref="A21:H21"/>
    <mergeCell ref="A22:H22"/>
    <mergeCell ref="A23:H23"/>
    <mergeCell ref="A24:H24"/>
  </mergeCells>
  <dataValidations count="4">
    <dataValidation allowBlank="true" error="Wybierz wartość z listy." errorStyle="stop" errorTitle="Wartość spoza listy" operator="between" showDropDown="false" showErrorMessage="false" showInputMessage="false" sqref="G6:G17" type="list">
      <formula1>'LISTY POMOCNICZE'!$D$8:$D$12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AB6:AB17" type="list">
      <formula1>'LISTY POMOCNICZE'!$G$8:$G$13</formula1>
      <formula2>0</formula2>
    </dataValidation>
    <dataValidation allowBlank="true" error="Podaj liczbę nie mniejszą niż 0." errorStyle="stop" errorTitle="Wartość nieprawidłowa" operator="greaterThanOrEqual" showDropDown="false" showErrorMessage="false" showInputMessage="false" sqref="E6:F17 H6:H17 J6:K17 M6:N17 S6:S17 U6:W17" type="decimal">
      <formula1>0</formula1>
      <formula2>0</formula2>
    </dataValidation>
    <dataValidation allowBlank="true" error="Podaj wartość od 0% do 100%." errorStyle="stop" errorTitle="Procent poza zakresem" operator="between" showDropDown="false" showErrorMessage="false" showInputMessage="false" sqref="I6:I17 L6:L17 P6:R17" type="decimal">
      <formula1>0</formula1>
      <formula2>1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false"/>
  </sheetPr>
  <dimension ref="A1:L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0"/>
    <col collapsed="false" customWidth="true" hidden="false" outlineLevel="0" max="6" min="3" style="0" width="20"/>
    <col collapsed="false" customWidth="true" hidden="false" outlineLevel="0" max="7" min="7" style="0" width="16"/>
    <col collapsed="false" customWidth="true" hidden="false" outlineLevel="0" max="8" min="8" style="0" width="13"/>
    <col collapsed="false" customWidth="true" hidden="false" outlineLevel="0" max="11" min="9" style="0" width="28"/>
    <col collapsed="false" customWidth="true" hidden="false" outlineLevel="0" max="12" min="12" style="0" width="24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254</v>
      </c>
      <c r="B2" s="22"/>
      <c r="C2" s="22"/>
      <c r="D2" s="22"/>
      <c r="E2" s="22"/>
      <c r="F2" s="22"/>
      <c r="G2" s="22"/>
      <c r="H2" s="22"/>
    </row>
    <row r="3" customFormat="false" ht="30" hidden="false" customHeight="true" outlineLevel="0" collapsed="false">
      <c r="A3" s="23" t="s">
        <v>255</v>
      </c>
      <c r="B3" s="23"/>
      <c r="C3" s="23"/>
      <c r="D3" s="23"/>
      <c r="E3" s="23"/>
      <c r="F3" s="23"/>
      <c r="G3" s="23"/>
      <c r="H3" s="23"/>
    </row>
    <row r="4" customFormat="false" ht="16.5" hidden="false" customHeight="true" outlineLevel="0" collapsed="false">
      <c r="A4" s="44" t="s">
        <v>256</v>
      </c>
      <c r="B4" s="44"/>
      <c r="C4" s="44"/>
      <c r="D4" s="44"/>
      <c r="E4" s="44"/>
      <c r="F4" s="44"/>
      <c r="G4" s="44"/>
      <c r="H4" s="44"/>
    </row>
    <row r="6" customFormat="false" ht="19.5" hidden="false" customHeight="true" outlineLevel="0" collapsed="false">
      <c r="A6" s="4" t="s">
        <v>257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customFormat="false" ht="42" hidden="false" customHeight="true" outlineLevel="0" collapsed="false">
      <c r="A7" s="24" t="s">
        <v>64</v>
      </c>
      <c r="B7" s="24" t="s">
        <v>258</v>
      </c>
      <c r="C7" s="24" t="s">
        <v>259</v>
      </c>
      <c r="D7" s="24" t="s">
        <v>260</v>
      </c>
      <c r="E7" s="24" t="s">
        <v>261</v>
      </c>
      <c r="F7" s="24" t="s">
        <v>262</v>
      </c>
      <c r="G7" s="24" t="s">
        <v>263</v>
      </c>
      <c r="H7" s="24" t="s">
        <v>264</v>
      </c>
      <c r="I7" s="24" t="s">
        <v>265</v>
      </c>
      <c r="J7" s="24" t="s">
        <v>234</v>
      </c>
      <c r="K7" s="24" t="s">
        <v>266</v>
      </c>
      <c r="L7" s="24" t="s">
        <v>267</v>
      </c>
    </row>
    <row r="8" customFormat="false" ht="21.75" hidden="false" customHeight="true" outlineLevel="0" collapsed="false">
      <c r="A8" s="45" t="s">
        <v>268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customFormat="false" ht="21.75" hidden="false" customHeight="true" outlineLevel="0" collapsed="false">
      <c r="A9" s="45" t="s">
        <v>269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customFormat="false" ht="21.75" hidden="false" customHeight="true" outlineLevel="0" collapsed="false">
      <c r="A10" s="45" t="s">
        <v>270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customFormat="false" ht="21.75" hidden="false" customHeight="true" outlineLevel="0" collapsed="false">
      <c r="A11" s="45" t="s">
        <v>271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customFormat="false" ht="21.75" hidden="false" customHeight="true" outlineLevel="0" collapsed="false">
      <c r="A12" s="45" t="s">
        <v>272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customFormat="false" ht="21.75" hidden="false" customHeight="true" outlineLevel="0" collapsed="false">
      <c r="A13" s="45" t="s">
        <v>273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customFormat="false" ht="21.75" hidden="false" customHeight="true" outlineLevel="0" collapsed="false">
      <c r="A14" s="45" t="s">
        <v>274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customFormat="false" ht="21.75" hidden="false" customHeight="true" outlineLevel="0" collapsed="false">
      <c r="A15" s="45" t="s">
        <v>275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customFormat="false" ht="21.75" hidden="false" customHeight="true" outlineLevel="0" collapsed="false">
      <c r="A16" s="45" t="s">
        <v>276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customFormat="false" ht="21.75" hidden="false" customHeight="true" outlineLevel="0" collapsed="false">
      <c r="A17" s="45" t="s">
        <v>277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customFormat="false" ht="21.75" hidden="false" customHeight="true" outlineLevel="0" collapsed="false">
      <c r="A18" s="45" t="s">
        <v>278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customFormat="false" ht="21.75" hidden="false" customHeight="true" outlineLevel="0" collapsed="false">
      <c r="A19" s="45" t="s">
        <v>279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customFormat="false" ht="21.75" hidden="false" customHeight="true" outlineLevel="0" collapsed="false">
      <c r="A20" s="45" t="s">
        <v>280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customFormat="false" ht="21.75" hidden="false" customHeight="true" outlineLevel="0" collapsed="false">
      <c r="A21" s="45" t="s">
        <v>281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customFormat="false" ht="21.75" hidden="false" customHeight="true" outlineLevel="0" collapsed="false">
      <c r="A22" s="45" t="s">
        <v>282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5" customFormat="false" ht="19.5" hidden="false" customHeight="true" outlineLevel="0" collapsed="false">
      <c r="A25" s="4" t="s">
        <v>283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customFormat="false" ht="16.5" hidden="false" customHeight="true" outlineLevel="0" collapsed="false">
      <c r="A26" s="47" t="s">
        <v>284</v>
      </c>
      <c r="B26" s="47"/>
      <c r="C26" s="47"/>
      <c r="D26" s="47"/>
      <c r="E26" s="47"/>
      <c r="F26" s="47"/>
      <c r="G26" s="47"/>
      <c r="H26" s="47"/>
    </row>
    <row r="27" customFormat="false" ht="30" hidden="false" customHeight="true" outlineLevel="0" collapsed="false">
      <c r="A27" s="47" t="s">
        <v>285</v>
      </c>
      <c r="B27" s="47"/>
      <c r="C27" s="47"/>
      <c r="D27" s="47"/>
      <c r="E27" s="47"/>
      <c r="F27" s="47"/>
      <c r="G27" s="47"/>
      <c r="H27" s="47"/>
    </row>
    <row r="28" customFormat="false" ht="16.5" hidden="false" customHeight="true" outlineLevel="0" collapsed="false">
      <c r="A28" s="47" t="s">
        <v>286</v>
      </c>
      <c r="B28" s="47"/>
      <c r="C28" s="47"/>
      <c r="D28" s="47"/>
      <c r="E28" s="47"/>
      <c r="F28" s="47"/>
      <c r="G28" s="47"/>
      <c r="H28" s="47"/>
    </row>
  </sheetData>
  <mergeCells count="6">
    <mergeCell ref="A2:H2"/>
    <mergeCell ref="A3:H3"/>
    <mergeCell ref="A4:H4"/>
    <mergeCell ref="A26:H26"/>
    <mergeCell ref="A27:H27"/>
    <mergeCell ref="A28:H28"/>
  </mergeCells>
  <dataValidations count="2">
    <dataValidation allowBlank="true" error="Wybierz wartość z listy." errorStyle="stop" errorTitle="Wartość spoza listy" operator="between" showDropDown="false" showErrorMessage="false" showInputMessage="false" sqref="G8:G22" type="list">
      <formula1>'LISTY POMOCNICZE'!$R$8:$R$10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H8:H22" type="list">
      <formula1>'LISTY POMOCNICZE'!$Q$8:$Q$11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false"/>
  </sheetPr>
  <dimension ref="A1:P1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28"/>
    <col collapsed="false" customWidth="true" hidden="false" outlineLevel="0" max="3" min="3" style="0" width="30"/>
    <col collapsed="false" customWidth="true" hidden="false" outlineLevel="0" max="4" min="4" style="0" width="28"/>
    <col collapsed="false" customWidth="true" hidden="false" outlineLevel="0" max="5" min="5" style="0" width="10"/>
    <col collapsed="false" customWidth="true" hidden="false" outlineLevel="0" max="6" min="6" style="0" width="20"/>
    <col collapsed="false" customWidth="true" hidden="false" outlineLevel="0" max="9" min="7" style="0" width="12"/>
    <col collapsed="false" customWidth="true" hidden="false" outlineLevel="0" max="15" min="10" style="0" width="14"/>
    <col collapsed="false" customWidth="true" hidden="false" outlineLevel="0" max="16" min="16" style="0" width="28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287</v>
      </c>
      <c r="B2" s="22"/>
      <c r="C2" s="22"/>
      <c r="D2" s="22"/>
      <c r="E2" s="22"/>
      <c r="F2" s="22"/>
      <c r="G2" s="22"/>
      <c r="H2" s="22"/>
      <c r="I2" s="22"/>
      <c r="J2" s="22"/>
    </row>
    <row r="3" customFormat="false" ht="30" hidden="false" customHeight="true" outlineLevel="0" collapsed="false">
      <c r="A3" s="23" t="s">
        <v>288</v>
      </c>
      <c r="B3" s="23"/>
      <c r="C3" s="23"/>
      <c r="D3" s="23"/>
      <c r="E3" s="23"/>
      <c r="F3" s="23"/>
      <c r="G3" s="23"/>
      <c r="H3" s="23"/>
      <c r="I3" s="23"/>
      <c r="J3" s="23"/>
    </row>
    <row r="5" customFormat="false" ht="19.5" hidden="false" customHeight="true" outlineLevel="0" collapsed="false">
      <c r="A5" s="4" t="s">
        <v>289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customFormat="false" ht="42" hidden="false" customHeight="true" outlineLevel="0" collapsed="false">
      <c r="A6" s="24" t="s">
        <v>64</v>
      </c>
      <c r="B6" s="24" t="s">
        <v>290</v>
      </c>
      <c r="C6" s="24" t="s">
        <v>291</v>
      </c>
      <c r="D6" s="24" t="s">
        <v>292</v>
      </c>
      <c r="E6" s="24" t="s">
        <v>293</v>
      </c>
      <c r="F6" s="24" t="s">
        <v>294</v>
      </c>
      <c r="G6" s="24" t="s">
        <v>295</v>
      </c>
      <c r="H6" s="24" t="s">
        <v>296</v>
      </c>
      <c r="I6" s="24" t="s">
        <v>297</v>
      </c>
      <c r="J6" s="24" t="s">
        <v>298</v>
      </c>
      <c r="K6" s="24" t="s">
        <v>299</v>
      </c>
      <c r="L6" s="24" t="s">
        <v>300</v>
      </c>
      <c r="M6" s="24" t="s">
        <v>301</v>
      </c>
      <c r="N6" s="24" t="s">
        <v>302</v>
      </c>
      <c r="O6" s="24" t="s">
        <v>303</v>
      </c>
      <c r="P6" s="24" t="s">
        <v>267</v>
      </c>
    </row>
    <row r="7" customFormat="false" ht="21.75" hidden="false" customHeight="true" outlineLevel="0" collapsed="false">
      <c r="A7" s="48" t="s">
        <v>304</v>
      </c>
      <c r="B7" s="33"/>
      <c r="C7" s="33"/>
      <c r="D7" s="33"/>
      <c r="E7" s="33"/>
      <c r="F7" s="33"/>
      <c r="G7" s="30"/>
      <c r="H7" s="30"/>
      <c r="I7" s="30"/>
      <c r="J7" s="34" t="n">
        <f aca="false">ROUND(SUM($D$34:$D$40),2)</f>
        <v>0</v>
      </c>
      <c r="K7" s="34" t="n">
        <f aca="false">ROUND(SUM($E$34:$E$40),2)</f>
        <v>0</v>
      </c>
      <c r="L7" s="34" t="n">
        <f aca="false">ROUND(SUM($F$34:$F$40),2)</f>
        <v>0</v>
      </c>
      <c r="M7" s="34" t="n">
        <f aca="false">ROUND(SUM($I$34:$I$40),2)</f>
        <v>0</v>
      </c>
      <c r="N7" s="49" t="n">
        <f aca="false">ROUND(SUM($J$34:$J$40),2)</f>
        <v>0</v>
      </c>
      <c r="O7" s="34" t="n">
        <f aca="false">ROUND(SUM($K$34:$K$40),2)</f>
        <v>0</v>
      </c>
      <c r="P7" s="33"/>
    </row>
    <row r="8" customFormat="false" ht="21.75" hidden="false" customHeight="true" outlineLevel="0" collapsed="false">
      <c r="A8" s="48" t="s">
        <v>305</v>
      </c>
      <c r="B8" s="33"/>
      <c r="C8" s="33"/>
      <c r="D8" s="33"/>
      <c r="E8" s="33"/>
      <c r="F8" s="33"/>
      <c r="G8" s="30"/>
      <c r="H8" s="30"/>
      <c r="I8" s="30"/>
      <c r="J8" s="34" t="n">
        <f aca="false">ROUND(SUM($D$41:$D$47),2)</f>
        <v>0</v>
      </c>
      <c r="K8" s="34" t="n">
        <f aca="false">ROUND(SUM($E$41:$E$47),2)</f>
        <v>0</v>
      </c>
      <c r="L8" s="34" t="n">
        <f aca="false">ROUND(SUM($F$41:$F$47),2)</f>
        <v>0</v>
      </c>
      <c r="M8" s="34" t="n">
        <f aca="false">ROUND(SUM($I$41:$I$47),2)</f>
        <v>0</v>
      </c>
      <c r="N8" s="49" t="n">
        <f aca="false">ROUND(SUM($J$41:$J$47),2)</f>
        <v>0</v>
      </c>
      <c r="O8" s="34" t="n">
        <f aca="false">ROUND(SUM($K$41:$K$47),2)</f>
        <v>0</v>
      </c>
      <c r="P8" s="33"/>
    </row>
    <row r="9" customFormat="false" ht="21.75" hidden="false" customHeight="true" outlineLevel="0" collapsed="false">
      <c r="A9" s="48" t="s">
        <v>306</v>
      </c>
      <c r="B9" s="33"/>
      <c r="C9" s="33"/>
      <c r="D9" s="33"/>
      <c r="E9" s="33"/>
      <c r="F9" s="33"/>
      <c r="G9" s="30"/>
      <c r="H9" s="30"/>
      <c r="I9" s="30"/>
      <c r="J9" s="34" t="n">
        <f aca="false">ROUND(SUM($D$48:$D$54),2)</f>
        <v>0</v>
      </c>
      <c r="K9" s="34" t="n">
        <f aca="false">ROUND(SUM($E$48:$E$54),2)</f>
        <v>0</v>
      </c>
      <c r="L9" s="34" t="n">
        <f aca="false">ROUND(SUM($F$48:$F$54),2)</f>
        <v>0</v>
      </c>
      <c r="M9" s="34" t="n">
        <f aca="false">ROUND(SUM($I$48:$I$54),2)</f>
        <v>0</v>
      </c>
      <c r="N9" s="49" t="n">
        <f aca="false">ROUND(SUM($J$48:$J$54),2)</f>
        <v>0</v>
      </c>
      <c r="O9" s="34" t="n">
        <f aca="false">ROUND(SUM($K$48:$K$54),2)</f>
        <v>0</v>
      </c>
      <c r="P9" s="33"/>
    </row>
    <row r="10" customFormat="false" ht="21.75" hidden="false" customHeight="true" outlineLevel="0" collapsed="false">
      <c r="A10" s="48" t="s">
        <v>307</v>
      </c>
      <c r="B10" s="33"/>
      <c r="C10" s="33"/>
      <c r="D10" s="33"/>
      <c r="E10" s="33"/>
      <c r="F10" s="33"/>
      <c r="G10" s="30"/>
      <c r="H10" s="30"/>
      <c r="I10" s="30"/>
      <c r="J10" s="34" t="n">
        <f aca="false">ROUND(SUM($D$55:$D$61),2)</f>
        <v>0</v>
      </c>
      <c r="K10" s="34" t="n">
        <f aca="false">ROUND(SUM($E$55:$E$61),2)</f>
        <v>0</v>
      </c>
      <c r="L10" s="34" t="n">
        <f aca="false">ROUND(SUM($F$55:$F$61),2)</f>
        <v>0</v>
      </c>
      <c r="M10" s="34" t="n">
        <f aca="false">ROUND(SUM($I$55:$I$61),2)</f>
        <v>0</v>
      </c>
      <c r="N10" s="49" t="n">
        <f aca="false">ROUND(SUM($J$55:$J$61),2)</f>
        <v>0</v>
      </c>
      <c r="O10" s="34" t="n">
        <f aca="false">ROUND(SUM($K$55:$K$61),2)</f>
        <v>0</v>
      </c>
      <c r="P10" s="33"/>
    </row>
    <row r="11" customFormat="false" ht="21.75" hidden="false" customHeight="true" outlineLevel="0" collapsed="false">
      <c r="A11" s="48" t="s">
        <v>308</v>
      </c>
      <c r="B11" s="33"/>
      <c r="C11" s="33"/>
      <c r="D11" s="33"/>
      <c r="E11" s="33"/>
      <c r="F11" s="33"/>
      <c r="G11" s="30"/>
      <c r="H11" s="30"/>
      <c r="I11" s="30"/>
      <c r="J11" s="34" t="n">
        <f aca="false">ROUND(SUM($D$62:$D$68),2)</f>
        <v>0</v>
      </c>
      <c r="K11" s="34" t="n">
        <f aca="false">ROUND(SUM($E$62:$E$68),2)</f>
        <v>0</v>
      </c>
      <c r="L11" s="34" t="n">
        <f aca="false">ROUND(SUM($F$62:$F$68),2)</f>
        <v>0</v>
      </c>
      <c r="M11" s="34" t="n">
        <f aca="false">ROUND(SUM($I$62:$I$68),2)</f>
        <v>0</v>
      </c>
      <c r="N11" s="49" t="n">
        <f aca="false">ROUND(SUM($J$62:$J$68),2)</f>
        <v>0</v>
      </c>
      <c r="O11" s="34" t="n">
        <f aca="false">ROUND(SUM($K$62:$K$68),2)</f>
        <v>0</v>
      </c>
      <c r="P11" s="33"/>
    </row>
    <row r="12" customFormat="false" ht="21.75" hidden="false" customHeight="true" outlineLevel="0" collapsed="false">
      <c r="A12" s="48" t="s">
        <v>309</v>
      </c>
      <c r="B12" s="33"/>
      <c r="C12" s="33"/>
      <c r="D12" s="33"/>
      <c r="E12" s="33"/>
      <c r="F12" s="33"/>
      <c r="G12" s="30"/>
      <c r="H12" s="30"/>
      <c r="I12" s="30"/>
      <c r="J12" s="34" t="n">
        <f aca="false">ROUND(SUM($D$69:$D$75),2)</f>
        <v>0</v>
      </c>
      <c r="K12" s="34" t="n">
        <f aca="false">ROUND(SUM($E$69:$E$75),2)</f>
        <v>0</v>
      </c>
      <c r="L12" s="34" t="n">
        <f aca="false">ROUND(SUM($F$69:$F$75),2)</f>
        <v>0</v>
      </c>
      <c r="M12" s="34" t="n">
        <f aca="false">ROUND(SUM($I$69:$I$75),2)</f>
        <v>0</v>
      </c>
      <c r="N12" s="49" t="n">
        <f aca="false">ROUND(SUM($J$69:$J$75),2)</f>
        <v>0</v>
      </c>
      <c r="O12" s="34" t="n">
        <f aca="false">ROUND(SUM($K$69:$K$75),2)</f>
        <v>0</v>
      </c>
      <c r="P12" s="33"/>
    </row>
    <row r="13" customFormat="false" ht="21.75" hidden="false" customHeight="true" outlineLevel="0" collapsed="false">
      <c r="A13" s="48" t="s">
        <v>310</v>
      </c>
      <c r="B13" s="33"/>
      <c r="C13" s="33"/>
      <c r="D13" s="33"/>
      <c r="E13" s="33"/>
      <c r="F13" s="33"/>
      <c r="G13" s="30"/>
      <c r="H13" s="30"/>
      <c r="I13" s="30"/>
      <c r="J13" s="34" t="n">
        <f aca="false">ROUND(SUM($D$76:$D$82),2)</f>
        <v>0</v>
      </c>
      <c r="K13" s="34" t="n">
        <f aca="false">ROUND(SUM($E$76:$E$82),2)</f>
        <v>0</v>
      </c>
      <c r="L13" s="34" t="n">
        <f aca="false">ROUND(SUM($F$76:$F$82),2)</f>
        <v>0</v>
      </c>
      <c r="M13" s="34" t="n">
        <f aca="false">ROUND(SUM($I$76:$I$82),2)</f>
        <v>0</v>
      </c>
      <c r="N13" s="49" t="n">
        <f aca="false">ROUND(SUM($J$76:$J$82),2)</f>
        <v>0</v>
      </c>
      <c r="O13" s="34" t="n">
        <f aca="false">ROUND(SUM($K$76:$K$82),2)</f>
        <v>0</v>
      </c>
      <c r="P13" s="33"/>
    </row>
    <row r="14" customFormat="false" ht="21.75" hidden="false" customHeight="true" outlineLevel="0" collapsed="false">
      <c r="A14" s="48" t="s">
        <v>311</v>
      </c>
      <c r="B14" s="33"/>
      <c r="C14" s="33"/>
      <c r="D14" s="33"/>
      <c r="E14" s="33"/>
      <c r="F14" s="33"/>
      <c r="G14" s="30"/>
      <c r="H14" s="30"/>
      <c r="I14" s="30"/>
      <c r="J14" s="34" t="n">
        <f aca="false">ROUND(SUM($D$83:$D$89),2)</f>
        <v>0</v>
      </c>
      <c r="K14" s="34" t="n">
        <f aca="false">ROUND(SUM($E$83:$E$89),2)</f>
        <v>0</v>
      </c>
      <c r="L14" s="34" t="n">
        <f aca="false">ROUND(SUM($F$83:$F$89),2)</f>
        <v>0</v>
      </c>
      <c r="M14" s="34" t="n">
        <f aca="false">ROUND(SUM($I$83:$I$89),2)</f>
        <v>0</v>
      </c>
      <c r="N14" s="49" t="n">
        <f aca="false">ROUND(SUM($J$83:$J$89),2)</f>
        <v>0</v>
      </c>
      <c r="O14" s="34" t="n">
        <f aca="false">ROUND(SUM($K$83:$K$89),2)</f>
        <v>0</v>
      </c>
      <c r="P14" s="33"/>
    </row>
    <row r="16" customFormat="false" ht="19.5" hidden="false" customHeight="true" outlineLevel="0" collapsed="false">
      <c r="A16" s="4" t="s">
        <v>312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customFormat="false" ht="15" hidden="false" customHeight="false" outlineLevel="0" collapsed="false">
      <c r="A17" s="50" t="s">
        <v>313</v>
      </c>
      <c r="C17" s="51" t="n">
        <f aca="false">IF($E$7="TAK",1,0)</f>
        <v>0</v>
      </c>
      <c r="D17" s="51" t="n">
        <f aca="false">IF($E$8="TAK",1,0)</f>
        <v>0</v>
      </c>
      <c r="E17" s="51" t="n">
        <f aca="false">IF($E$9="TAK",1,0)</f>
        <v>0</v>
      </c>
      <c r="F17" s="51" t="n">
        <f aca="false">IF($E$10="TAK",1,0)</f>
        <v>0</v>
      </c>
      <c r="G17" s="51" t="n">
        <f aca="false">IF($E$11="TAK",1,0)</f>
        <v>0</v>
      </c>
      <c r="H17" s="51" t="n">
        <f aca="false">IF($E$12="TAK",1,0)</f>
        <v>0</v>
      </c>
      <c r="I17" s="51" t="n">
        <f aca="false">IF($E$13="TAK",1,0)</f>
        <v>0</v>
      </c>
      <c r="J17" s="51" t="n">
        <f aca="false">IF($E$14="TAK",1,0)</f>
        <v>0</v>
      </c>
    </row>
    <row r="18" customFormat="false" ht="36" hidden="false" customHeight="true" outlineLevel="0" collapsed="false">
      <c r="A18" s="24" t="s">
        <v>314</v>
      </c>
      <c r="B18" s="24" t="s">
        <v>315</v>
      </c>
      <c r="C18" s="24" t="s">
        <v>304</v>
      </c>
      <c r="D18" s="24" t="s">
        <v>305</v>
      </c>
      <c r="E18" s="24" t="s">
        <v>306</v>
      </c>
      <c r="F18" s="24" t="s">
        <v>307</v>
      </c>
      <c r="G18" s="24" t="s">
        <v>308</v>
      </c>
      <c r="H18" s="24" t="s">
        <v>309</v>
      </c>
      <c r="I18" s="24" t="s">
        <v>310</v>
      </c>
      <c r="J18" s="24" t="s">
        <v>311</v>
      </c>
      <c r="K18" s="24" t="s">
        <v>316</v>
      </c>
    </row>
    <row r="19" customFormat="false" ht="19.5" hidden="false" customHeight="true" outlineLevel="0" collapsed="false">
      <c r="A19" s="45" t="s">
        <v>236</v>
      </c>
      <c r="B19" s="52" t="str">
        <f aca="false">IF(PROCESY!$B$6="","",PROCESY!$B$6)</f>
        <v/>
      </c>
      <c r="C19" s="31"/>
      <c r="D19" s="31"/>
      <c r="E19" s="31"/>
      <c r="F19" s="31"/>
      <c r="G19" s="31"/>
      <c r="H19" s="31"/>
      <c r="I19" s="31"/>
      <c r="J19" s="31"/>
      <c r="K19" s="53" t="n">
        <f aca="false">ROUND(SUMPRODUCT($C19:$J19,$C$17:$J$17),4)</f>
        <v>0</v>
      </c>
    </row>
    <row r="20" customFormat="false" ht="19.5" hidden="false" customHeight="true" outlineLevel="0" collapsed="false">
      <c r="A20" s="45" t="s">
        <v>237</v>
      </c>
      <c r="B20" s="52" t="str">
        <f aca="false">IF(PROCESY!$B$7="","",PROCESY!$B$7)</f>
        <v/>
      </c>
      <c r="C20" s="31"/>
      <c r="D20" s="31"/>
      <c r="E20" s="31"/>
      <c r="F20" s="31"/>
      <c r="G20" s="31"/>
      <c r="H20" s="31"/>
      <c r="I20" s="31"/>
      <c r="J20" s="31"/>
      <c r="K20" s="53" t="n">
        <f aca="false">ROUND(SUMPRODUCT($C20:$J20,$C$17:$J$17),4)</f>
        <v>0</v>
      </c>
    </row>
    <row r="21" customFormat="false" ht="19.5" hidden="false" customHeight="true" outlineLevel="0" collapsed="false">
      <c r="A21" s="45" t="s">
        <v>238</v>
      </c>
      <c r="B21" s="52" t="str">
        <f aca="false">IF(PROCESY!$B$8="","",PROCESY!$B$8)</f>
        <v/>
      </c>
      <c r="C21" s="31"/>
      <c r="D21" s="31"/>
      <c r="E21" s="31"/>
      <c r="F21" s="31"/>
      <c r="G21" s="31"/>
      <c r="H21" s="31"/>
      <c r="I21" s="31"/>
      <c r="J21" s="31"/>
      <c r="K21" s="53" t="n">
        <f aca="false">ROUND(SUMPRODUCT($C21:$J21,$C$17:$J$17),4)</f>
        <v>0</v>
      </c>
    </row>
    <row r="22" customFormat="false" ht="19.5" hidden="false" customHeight="true" outlineLevel="0" collapsed="false">
      <c r="A22" s="45" t="s">
        <v>239</v>
      </c>
      <c r="B22" s="52" t="str">
        <f aca="false">IF(PROCESY!$B$9="","",PROCESY!$B$9)</f>
        <v/>
      </c>
      <c r="C22" s="31"/>
      <c r="D22" s="31"/>
      <c r="E22" s="31"/>
      <c r="F22" s="31"/>
      <c r="G22" s="31"/>
      <c r="H22" s="31"/>
      <c r="I22" s="31"/>
      <c r="J22" s="31"/>
      <c r="K22" s="53" t="n">
        <f aca="false">ROUND(SUMPRODUCT($C22:$J22,$C$17:$J$17),4)</f>
        <v>0</v>
      </c>
    </row>
    <row r="23" customFormat="false" ht="19.5" hidden="false" customHeight="true" outlineLevel="0" collapsed="false">
      <c r="A23" s="45" t="s">
        <v>240</v>
      </c>
      <c r="B23" s="52" t="str">
        <f aca="false">IF(PROCESY!$B$10="","",PROCESY!$B$10)</f>
        <v/>
      </c>
      <c r="C23" s="31"/>
      <c r="D23" s="31"/>
      <c r="E23" s="31"/>
      <c r="F23" s="31"/>
      <c r="G23" s="31"/>
      <c r="H23" s="31"/>
      <c r="I23" s="31"/>
      <c r="J23" s="31"/>
      <c r="K23" s="53" t="n">
        <f aca="false">ROUND(SUMPRODUCT($C23:$J23,$C$17:$J$17),4)</f>
        <v>0</v>
      </c>
    </row>
    <row r="24" customFormat="false" ht="19.5" hidden="false" customHeight="true" outlineLevel="0" collapsed="false">
      <c r="A24" s="45" t="s">
        <v>241</v>
      </c>
      <c r="B24" s="52" t="str">
        <f aca="false">IF(PROCESY!$B$11="","",PROCESY!$B$11)</f>
        <v/>
      </c>
      <c r="C24" s="31"/>
      <c r="D24" s="31"/>
      <c r="E24" s="31"/>
      <c r="F24" s="31"/>
      <c r="G24" s="31"/>
      <c r="H24" s="31"/>
      <c r="I24" s="31"/>
      <c r="J24" s="31"/>
      <c r="K24" s="53" t="n">
        <f aca="false">ROUND(SUMPRODUCT($C24:$J24,$C$17:$J$17),4)</f>
        <v>0</v>
      </c>
    </row>
    <row r="25" customFormat="false" ht="19.5" hidden="false" customHeight="true" outlineLevel="0" collapsed="false">
      <c r="A25" s="45" t="s">
        <v>242</v>
      </c>
      <c r="B25" s="52" t="str">
        <f aca="false">IF(PROCESY!$B$12="","",PROCESY!$B$12)</f>
        <v/>
      </c>
      <c r="C25" s="31"/>
      <c r="D25" s="31"/>
      <c r="E25" s="31"/>
      <c r="F25" s="31"/>
      <c r="G25" s="31"/>
      <c r="H25" s="31"/>
      <c r="I25" s="31"/>
      <c r="J25" s="31"/>
      <c r="K25" s="53" t="n">
        <f aca="false">ROUND(SUMPRODUCT($C25:$J25,$C$17:$J$17),4)</f>
        <v>0</v>
      </c>
    </row>
    <row r="26" customFormat="false" ht="19.5" hidden="false" customHeight="true" outlineLevel="0" collapsed="false">
      <c r="A26" s="45" t="s">
        <v>243</v>
      </c>
      <c r="B26" s="52" t="str">
        <f aca="false">IF(PROCESY!$B$13="","",PROCESY!$B$13)</f>
        <v/>
      </c>
      <c r="C26" s="31"/>
      <c r="D26" s="31"/>
      <c r="E26" s="31"/>
      <c r="F26" s="31"/>
      <c r="G26" s="31"/>
      <c r="H26" s="31"/>
      <c r="I26" s="31"/>
      <c r="J26" s="31"/>
      <c r="K26" s="53" t="n">
        <f aca="false">ROUND(SUMPRODUCT($C26:$J26,$C$17:$J$17),4)</f>
        <v>0</v>
      </c>
    </row>
    <row r="27" customFormat="false" ht="19.5" hidden="false" customHeight="true" outlineLevel="0" collapsed="false">
      <c r="A27" s="45" t="s">
        <v>244</v>
      </c>
      <c r="B27" s="52" t="str">
        <f aca="false">IF(PROCESY!$B$14="","",PROCESY!$B$14)</f>
        <v/>
      </c>
      <c r="C27" s="31"/>
      <c r="D27" s="31"/>
      <c r="E27" s="31"/>
      <c r="F27" s="31"/>
      <c r="G27" s="31"/>
      <c r="H27" s="31"/>
      <c r="I27" s="31"/>
      <c r="J27" s="31"/>
      <c r="K27" s="53" t="n">
        <f aca="false">ROUND(SUMPRODUCT($C27:$J27,$C$17:$J$17),4)</f>
        <v>0</v>
      </c>
    </row>
    <row r="28" customFormat="false" ht="19.5" hidden="false" customHeight="true" outlineLevel="0" collapsed="false">
      <c r="A28" s="45" t="s">
        <v>245</v>
      </c>
      <c r="B28" s="52" t="str">
        <f aca="false">IF(PROCESY!$B$15="","",PROCESY!$B$15)</f>
        <v/>
      </c>
      <c r="C28" s="31"/>
      <c r="D28" s="31"/>
      <c r="E28" s="31"/>
      <c r="F28" s="31"/>
      <c r="G28" s="31"/>
      <c r="H28" s="31"/>
      <c r="I28" s="31"/>
      <c r="J28" s="31"/>
      <c r="K28" s="53" t="n">
        <f aca="false">ROUND(SUMPRODUCT($C28:$J28,$C$17:$J$17),4)</f>
        <v>0</v>
      </c>
    </row>
    <row r="29" customFormat="false" ht="19.5" hidden="false" customHeight="true" outlineLevel="0" collapsed="false">
      <c r="A29" s="45" t="s">
        <v>246</v>
      </c>
      <c r="B29" s="52" t="str">
        <f aca="false">IF(PROCESY!$B$16="","",PROCESY!$B$16)</f>
        <v/>
      </c>
      <c r="C29" s="31"/>
      <c r="D29" s="31"/>
      <c r="E29" s="31"/>
      <c r="F29" s="31"/>
      <c r="G29" s="31"/>
      <c r="H29" s="31"/>
      <c r="I29" s="31"/>
      <c r="J29" s="31"/>
      <c r="K29" s="53" t="n">
        <f aca="false">ROUND(SUMPRODUCT($C29:$J29,$C$17:$J$17),4)</f>
        <v>0</v>
      </c>
    </row>
    <row r="30" customFormat="false" ht="19.5" hidden="false" customHeight="true" outlineLevel="0" collapsed="false">
      <c r="A30" s="45" t="s">
        <v>247</v>
      </c>
      <c r="B30" s="52" t="str">
        <f aca="false">IF(PROCESY!$B$17="","",PROCESY!$B$17)</f>
        <v/>
      </c>
      <c r="C30" s="31"/>
      <c r="D30" s="31"/>
      <c r="E30" s="31"/>
      <c r="F30" s="31"/>
      <c r="G30" s="31"/>
      <c r="H30" s="31"/>
      <c r="I30" s="31"/>
      <c r="J30" s="31"/>
      <c r="K30" s="53" t="n">
        <f aca="false">ROUND(SUMPRODUCT($C30:$J30,$C$17:$J$17),4)</f>
        <v>0</v>
      </c>
    </row>
    <row r="31" customFormat="false" ht="27.75" hidden="false" customHeight="true" outlineLevel="0" collapsed="false">
      <c r="A31" s="12" t="s">
        <v>317</v>
      </c>
      <c r="B31" s="12"/>
      <c r="C31" s="12"/>
      <c r="D31" s="12"/>
      <c r="E31" s="12"/>
      <c r="F31" s="12"/>
      <c r="G31" s="12"/>
      <c r="H31" s="12"/>
      <c r="I31" s="12"/>
      <c r="J31" s="12"/>
    </row>
    <row r="32" customFormat="false" ht="19.5" hidden="false" customHeight="true" outlineLevel="0" collapsed="false">
      <c r="A32" s="4" t="s">
        <v>318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customFormat="false" ht="42" hidden="false" customHeight="true" outlineLevel="0" collapsed="false">
      <c r="A33" s="24" t="s">
        <v>319</v>
      </c>
      <c r="B33" s="24" t="s">
        <v>320</v>
      </c>
      <c r="C33" s="24" t="s">
        <v>321</v>
      </c>
      <c r="D33" s="24" t="s">
        <v>322</v>
      </c>
      <c r="E33" s="24" t="s">
        <v>323</v>
      </c>
      <c r="F33" s="24" t="s">
        <v>324</v>
      </c>
      <c r="G33" s="24" t="s">
        <v>325</v>
      </c>
      <c r="H33" s="24" t="s">
        <v>326</v>
      </c>
      <c r="I33" s="24" t="s">
        <v>327</v>
      </c>
      <c r="J33" s="24" t="s">
        <v>328</v>
      </c>
      <c r="K33" s="24" t="s">
        <v>329</v>
      </c>
      <c r="L33" s="24" t="s">
        <v>330</v>
      </c>
    </row>
    <row r="34" customFormat="false" ht="18" hidden="false" customHeight="true" outlineLevel="0" collapsed="false">
      <c r="A34" s="54" t="s">
        <v>304</v>
      </c>
      <c r="B34" s="55" t="n">
        <v>1</v>
      </c>
      <c r="C34" s="56" t="s">
        <v>331</v>
      </c>
      <c r="D34" s="57"/>
      <c r="E34" s="57"/>
      <c r="F34" s="57"/>
      <c r="G34" s="58"/>
      <c r="H34" s="58"/>
      <c r="I34" s="59" t="n">
        <f aca="false">ROUND(IFERROR($D34*$G34*(1-$H34),0),3)</f>
        <v>0</v>
      </c>
      <c r="J34" s="59" t="n">
        <f aca="false">ROUND(IFERROR($E34*$G34*(1-$H34),0),3)</f>
        <v>0</v>
      </c>
      <c r="K34" s="59" t="n">
        <f aca="false">ROUND(IFERROR($F34*$G34*(1-$H34),0),3)</f>
        <v>0</v>
      </c>
      <c r="L34" s="60"/>
    </row>
    <row r="35" customFormat="false" ht="18" hidden="false" customHeight="true" outlineLevel="0" collapsed="false">
      <c r="A35" s="45" t="s">
        <v>304</v>
      </c>
      <c r="B35" s="27" t="n">
        <v>2</v>
      </c>
      <c r="C35" s="26" t="s">
        <v>332</v>
      </c>
      <c r="D35" s="30"/>
      <c r="E35" s="30"/>
      <c r="F35" s="30"/>
      <c r="G35" s="31"/>
      <c r="H35" s="31"/>
      <c r="I35" s="34" t="n">
        <f aca="false">ROUND(IFERROR($D35*$G35*(1-$H35),0),3)</f>
        <v>0</v>
      </c>
      <c r="J35" s="34" t="n">
        <f aca="false">ROUND(IFERROR($E35*$G35*(1-$H35),0),3)</f>
        <v>0</v>
      </c>
      <c r="K35" s="34" t="n">
        <f aca="false">ROUND(IFERROR($F35*$G35*(1-$H35),0),3)</f>
        <v>0</v>
      </c>
      <c r="L35" s="33"/>
    </row>
    <row r="36" customFormat="false" ht="18" hidden="false" customHeight="true" outlineLevel="0" collapsed="false">
      <c r="A36" s="45" t="s">
        <v>304</v>
      </c>
      <c r="B36" s="27" t="n">
        <v>3</v>
      </c>
      <c r="C36" s="26" t="s">
        <v>333</v>
      </c>
      <c r="D36" s="30"/>
      <c r="E36" s="30"/>
      <c r="F36" s="30"/>
      <c r="G36" s="31"/>
      <c r="H36" s="31"/>
      <c r="I36" s="34" t="n">
        <f aca="false">ROUND(IFERROR($D36*$G36*(1-$H36),0),3)</f>
        <v>0</v>
      </c>
      <c r="J36" s="34" t="n">
        <f aca="false">ROUND(IFERROR($E36*$G36*(1-$H36),0),3)</f>
        <v>0</v>
      </c>
      <c r="K36" s="34" t="n">
        <f aca="false">ROUND(IFERROR($F36*$G36*(1-$H36),0),3)</f>
        <v>0</v>
      </c>
      <c r="L36" s="33"/>
    </row>
    <row r="37" customFormat="false" ht="18" hidden="false" customHeight="true" outlineLevel="0" collapsed="false">
      <c r="A37" s="45" t="s">
        <v>304</v>
      </c>
      <c r="B37" s="27" t="n">
        <v>4</v>
      </c>
      <c r="C37" s="26" t="s">
        <v>334</v>
      </c>
      <c r="D37" s="30"/>
      <c r="E37" s="30"/>
      <c r="F37" s="30"/>
      <c r="G37" s="31"/>
      <c r="H37" s="31"/>
      <c r="I37" s="34" t="n">
        <f aca="false">ROUND(IFERROR($D37*$G37*(1-$H37),0),3)</f>
        <v>0</v>
      </c>
      <c r="J37" s="34" t="n">
        <f aca="false">ROUND(IFERROR($E37*$G37*(1-$H37),0),3)</f>
        <v>0</v>
      </c>
      <c r="K37" s="34" t="n">
        <f aca="false">ROUND(IFERROR($F37*$G37*(1-$H37),0),3)</f>
        <v>0</v>
      </c>
      <c r="L37" s="33"/>
    </row>
    <row r="38" customFormat="false" ht="18" hidden="false" customHeight="true" outlineLevel="0" collapsed="false">
      <c r="A38" s="45" t="s">
        <v>304</v>
      </c>
      <c r="B38" s="27" t="n">
        <v>5</v>
      </c>
      <c r="C38" s="26" t="s">
        <v>335</v>
      </c>
      <c r="D38" s="30"/>
      <c r="E38" s="30"/>
      <c r="F38" s="30"/>
      <c r="G38" s="31"/>
      <c r="H38" s="31"/>
      <c r="I38" s="34" t="n">
        <f aca="false">ROUND(IFERROR($D38*$G38*(1-$H38),0),3)</f>
        <v>0</v>
      </c>
      <c r="J38" s="34" t="n">
        <f aca="false">ROUND(IFERROR($E38*$G38*(1-$H38),0),3)</f>
        <v>0</v>
      </c>
      <c r="K38" s="34" t="n">
        <f aca="false">ROUND(IFERROR($F38*$G38*(1-$H38),0),3)</f>
        <v>0</v>
      </c>
      <c r="L38" s="33"/>
    </row>
    <row r="39" customFormat="false" ht="18" hidden="false" customHeight="true" outlineLevel="0" collapsed="false">
      <c r="A39" s="45" t="s">
        <v>304</v>
      </c>
      <c r="B39" s="27" t="n">
        <v>6</v>
      </c>
      <c r="C39" s="26" t="s">
        <v>336</v>
      </c>
      <c r="D39" s="30"/>
      <c r="E39" s="30"/>
      <c r="F39" s="30"/>
      <c r="G39" s="31"/>
      <c r="H39" s="31"/>
      <c r="I39" s="34" t="n">
        <f aca="false">ROUND(IFERROR($D39*$G39*(1-$H39),0),3)</f>
        <v>0</v>
      </c>
      <c r="J39" s="34" t="n">
        <f aca="false">ROUND(IFERROR($E39*$G39*(1-$H39),0),3)</f>
        <v>0</v>
      </c>
      <c r="K39" s="34" t="n">
        <f aca="false">ROUND(IFERROR($F39*$G39*(1-$H39),0),3)</f>
        <v>0</v>
      </c>
      <c r="L39" s="33"/>
    </row>
    <row r="40" customFormat="false" ht="18" hidden="false" customHeight="true" outlineLevel="0" collapsed="false">
      <c r="A40" s="45" t="s">
        <v>304</v>
      </c>
      <c r="B40" s="27" t="n">
        <v>7</v>
      </c>
      <c r="C40" s="26" t="s">
        <v>337</v>
      </c>
      <c r="D40" s="30"/>
      <c r="E40" s="30"/>
      <c r="F40" s="30"/>
      <c r="G40" s="31"/>
      <c r="H40" s="31"/>
      <c r="I40" s="34" t="n">
        <f aca="false">ROUND(IFERROR($D40*$G40*(1-$H40),0),3)</f>
        <v>0</v>
      </c>
      <c r="J40" s="34" t="n">
        <f aca="false">ROUND(IFERROR($E40*$G40*(1-$H40),0),3)</f>
        <v>0</v>
      </c>
      <c r="K40" s="34" t="n">
        <f aca="false">ROUND(IFERROR($F40*$G40*(1-$H40),0),3)</f>
        <v>0</v>
      </c>
      <c r="L40" s="33"/>
    </row>
    <row r="41" customFormat="false" ht="18" hidden="false" customHeight="true" outlineLevel="0" collapsed="false">
      <c r="A41" s="54" t="s">
        <v>305</v>
      </c>
      <c r="B41" s="55" t="n">
        <v>1</v>
      </c>
      <c r="C41" s="56" t="s">
        <v>331</v>
      </c>
      <c r="D41" s="57"/>
      <c r="E41" s="57"/>
      <c r="F41" s="57"/>
      <c r="G41" s="58"/>
      <c r="H41" s="58"/>
      <c r="I41" s="59" t="n">
        <f aca="false">ROUND(IFERROR($D41*$G41*(1-$H41),0),3)</f>
        <v>0</v>
      </c>
      <c r="J41" s="59" t="n">
        <f aca="false">ROUND(IFERROR($E41*$G41*(1-$H41),0),3)</f>
        <v>0</v>
      </c>
      <c r="K41" s="59" t="n">
        <f aca="false">ROUND(IFERROR($F41*$G41*(1-$H41),0),3)</f>
        <v>0</v>
      </c>
      <c r="L41" s="60"/>
    </row>
    <row r="42" customFormat="false" ht="18" hidden="false" customHeight="true" outlineLevel="0" collapsed="false">
      <c r="A42" s="45" t="s">
        <v>305</v>
      </c>
      <c r="B42" s="27" t="n">
        <v>2</v>
      </c>
      <c r="C42" s="26" t="s">
        <v>332</v>
      </c>
      <c r="D42" s="30"/>
      <c r="E42" s="30"/>
      <c r="F42" s="30"/>
      <c r="G42" s="31"/>
      <c r="H42" s="31"/>
      <c r="I42" s="34" t="n">
        <f aca="false">ROUND(IFERROR($D42*$G42*(1-$H42),0),3)</f>
        <v>0</v>
      </c>
      <c r="J42" s="34" t="n">
        <f aca="false">ROUND(IFERROR($E42*$G42*(1-$H42),0),3)</f>
        <v>0</v>
      </c>
      <c r="K42" s="34" t="n">
        <f aca="false">ROUND(IFERROR($F42*$G42*(1-$H42),0),3)</f>
        <v>0</v>
      </c>
      <c r="L42" s="33"/>
    </row>
    <row r="43" customFormat="false" ht="18" hidden="false" customHeight="true" outlineLevel="0" collapsed="false">
      <c r="A43" s="45" t="s">
        <v>305</v>
      </c>
      <c r="B43" s="27" t="n">
        <v>3</v>
      </c>
      <c r="C43" s="26" t="s">
        <v>333</v>
      </c>
      <c r="D43" s="30"/>
      <c r="E43" s="30"/>
      <c r="F43" s="30"/>
      <c r="G43" s="31"/>
      <c r="H43" s="31"/>
      <c r="I43" s="34" t="n">
        <f aca="false">ROUND(IFERROR($D43*$G43*(1-$H43),0),3)</f>
        <v>0</v>
      </c>
      <c r="J43" s="34" t="n">
        <f aca="false">ROUND(IFERROR($E43*$G43*(1-$H43),0),3)</f>
        <v>0</v>
      </c>
      <c r="K43" s="34" t="n">
        <f aca="false">ROUND(IFERROR($F43*$G43*(1-$H43),0),3)</f>
        <v>0</v>
      </c>
      <c r="L43" s="33"/>
    </row>
    <row r="44" customFormat="false" ht="18" hidden="false" customHeight="true" outlineLevel="0" collapsed="false">
      <c r="A44" s="45" t="s">
        <v>305</v>
      </c>
      <c r="B44" s="27" t="n">
        <v>4</v>
      </c>
      <c r="C44" s="26" t="s">
        <v>334</v>
      </c>
      <c r="D44" s="30"/>
      <c r="E44" s="30"/>
      <c r="F44" s="30"/>
      <c r="G44" s="31"/>
      <c r="H44" s="31"/>
      <c r="I44" s="34" t="n">
        <f aca="false">ROUND(IFERROR($D44*$G44*(1-$H44),0),3)</f>
        <v>0</v>
      </c>
      <c r="J44" s="34" t="n">
        <f aca="false">ROUND(IFERROR($E44*$G44*(1-$H44),0),3)</f>
        <v>0</v>
      </c>
      <c r="K44" s="34" t="n">
        <f aca="false">ROUND(IFERROR($F44*$G44*(1-$H44),0),3)</f>
        <v>0</v>
      </c>
      <c r="L44" s="33"/>
    </row>
    <row r="45" customFormat="false" ht="18" hidden="false" customHeight="true" outlineLevel="0" collapsed="false">
      <c r="A45" s="45" t="s">
        <v>305</v>
      </c>
      <c r="B45" s="27" t="n">
        <v>5</v>
      </c>
      <c r="C45" s="26" t="s">
        <v>335</v>
      </c>
      <c r="D45" s="30"/>
      <c r="E45" s="30"/>
      <c r="F45" s="30"/>
      <c r="G45" s="31"/>
      <c r="H45" s="31"/>
      <c r="I45" s="34" t="n">
        <f aca="false">ROUND(IFERROR($D45*$G45*(1-$H45),0),3)</f>
        <v>0</v>
      </c>
      <c r="J45" s="34" t="n">
        <f aca="false">ROUND(IFERROR($E45*$G45*(1-$H45),0),3)</f>
        <v>0</v>
      </c>
      <c r="K45" s="34" t="n">
        <f aca="false">ROUND(IFERROR($F45*$G45*(1-$H45),0),3)</f>
        <v>0</v>
      </c>
      <c r="L45" s="33"/>
    </row>
    <row r="46" customFormat="false" ht="18" hidden="false" customHeight="true" outlineLevel="0" collapsed="false">
      <c r="A46" s="45" t="s">
        <v>305</v>
      </c>
      <c r="B46" s="27" t="n">
        <v>6</v>
      </c>
      <c r="C46" s="26" t="s">
        <v>336</v>
      </c>
      <c r="D46" s="30"/>
      <c r="E46" s="30"/>
      <c r="F46" s="30"/>
      <c r="G46" s="31"/>
      <c r="H46" s="31"/>
      <c r="I46" s="34" t="n">
        <f aca="false">ROUND(IFERROR($D46*$G46*(1-$H46),0),3)</f>
        <v>0</v>
      </c>
      <c r="J46" s="34" t="n">
        <f aca="false">ROUND(IFERROR($E46*$G46*(1-$H46),0),3)</f>
        <v>0</v>
      </c>
      <c r="K46" s="34" t="n">
        <f aca="false">ROUND(IFERROR($F46*$G46*(1-$H46),0),3)</f>
        <v>0</v>
      </c>
      <c r="L46" s="33"/>
    </row>
    <row r="47" customFormat="false" ht="18" hidden="false" customHeight="true" outlineLevel="0" collapsed="false">
      <c r="A47" s="45" t="s">
        <v>305</v>
      </c>
      <c r="B47" s="27" t="n">
        <v>7</v>
      </c>
      <c r="C47" s="26" t="s">
        <v>337</v>
      </c>
      <c r="D47" s="30"/>
      <c r="E47" s="30"/>
      <c r="F47" s="30"/>
      <c r="G47" s="31"/>
      <c r="H47" s="31"/>
      <c r="I47" s="34" t="n">
        <f aca="false">ROUND(IFERROR($D47*$G47*(1-$H47),0),3)</f>
        <v>0</v>
      </c>
      <c r="J47" s="34" t="n">
        <f aca="false">ROUND(IFERROR($E47*$G47*(1-$H47),0),3)</f>
        <v>0</v>
      </c>
      <c r="K47" s="34" t="n">
        <f aca="false">ROUND(IFERROR($F47*$G47*(1-$H47),0),3)</f>
        <v>0</v>
      </c>
      <c r="L47" s="33"/>
    </row>
    <row r="48" customFormat="false" ht="18" hidden="false" customHeight="true" outlineLevel="0" collapsed="false">
      <c r="A48" s="54" t="s">
        <v>306</v>
      </c>
      <c r="B48" s="55" t="n">
        <v>1</v>
      </c>
      <c r="C48" s="56" t="s">
        <v>331</v>
      </c>
      <c r="D48" s="57"/>
      <c r="E48" s="57"/>
      <c r="F48" s="57"/>
      <c r="G48" s="58"/>
      <c r="H48" s="58"/>
      <c r="I48" s="59" t="n">
        <f aca="false">ROUND(IFERROR($D48*$G48*(1-$H48),0),3)</f>
        <v>0</v>
      </c>
      <c r="J48" s="59" t="n">
        <f aca="false">ROUND(IFERROR($E48*$G48*(1-$H48),0),3)</f>
        <v>0</v>
      </c>
      <c r="K48" s="59" t="n">
        <f aca="false">ROUND(IFERROR($F48*$G48*(1-$H48),0),3)</f>
        <v>0</v>
      </c>
      <c r="L48" s="60"/>
    </row>
    <row r="49" customFormat="false" ht="18" hidden="false" customHeight="true" outlineLevel="0" collapsed="false">
      <c r="A49" s="45" t="s">
        <v>306</v>
      </c>
      <c r="B49" s="27" t="n">
        <v>2</v>
      </c>
      <c r="C49" s="26" t="s">
        <v>332</v>
      </c>
      <c r="D49" s="30"/>
      <c r="E49" s="30"/>
      <c r="F49" s="30"/>
      <c r="G49" s="31"/>
      <c r="H49" s="31"/>
      <c r="I49" s="34" t="n">
        <f aca="false">ROUND(IFERROR($D49*$G49*(1-$H49),0),3)</f>
        <v>0</v>
      </c>
      <c r="J49" s="34" t="n">
        <f aca="false">ROUND(IFERROR($E49*$G49*(1-$H49),0),3)</f>
        <v>0</v>
      </c>
      <c r="K49" s="34" t="n">
        <f aca="false">ROUND(IFERROR($F49*$G49*(1-$H49),0),3)</f>
        <v>0</v>
      </c>
      <c r="L49" s="33"/>
    </row>
    <row r="50" customFormat="false" ht="18" hidden="false" customHeight="true" outlineLevel="0" collapsed="false">
      <c r="A50" s="45" t="s">
        <v>306</v>
      </c>
      <c r="B50" s="27" t="n">
        <v>3</v>
      </c>
      <c r="C50" s="26" t="s">
        <v>333</v>
      </c>
      <c r="D50" s="30"/>
      <c r="E50" s="30"/>
      <c r="F50" s="30"/>
      <c r="G50" s="31"/>
      <c r="H50" s="31"/>
      <c r="I50" s="34" t="n">
        <f aca="false">ROUND(IFERROR($D50*$G50*(1-$H50),0),3)</f>
        <v>0</v>
      </c>
      <c r="J50" s="34" t="n">
        <f aca="false">ROUND(IFERROR($E50*$G50*(1-$H50),0),3)</f>
        <v>0</v>
      </c>
      <c r="K50" s="34" t="n">
        <f aca="false">ROUND(IFERROR($F50*$G50*(1-$H50),0),3)</f>
        <v>0</v>
      </c>
      <c r="L50" s="33"/>
    </row>
    <row r="51" customFormat="false" ht="18" hidden="false" customHeight="true" outlineLevel="0" collapsed="false">
      <c r="A51" s="45" t="s">
        <v>306</v>
      </c>
      <c r="B51" s="27" t="n">
        <v>4</v>
      </c>
      <c r="C51" s="26" t="s">
        <v>334</v>
      </c>
      <c r="D51" s="30"/>
      <c r="E51" s="30"/>
      <c r="F51" s="30"/>
      <c r="G51" s="31"/>
      <c r="H51" s="31"/>
      <c r="I51" s="34" t="n">
        <f aca="false">ROUND(IFERROR($D51*$G51*(1-$H51),0),3)</f>
        <v>0</v>
      </c>
      <c r="J51" s="34" t="n">
        <f aca="false">ROUND(IFERROR($E51*$G51*(1-$H51),0),3)</f>
        <v>0</v>
      </c>
      <c r="K51" s="34" t="n">
        <f aca="false">ROUND(IFERROR($F51*$G51*(1-$H51),0),3)</f>
        <v>0</v>
      </c>
      <c r="L51" s="33"/>
    </row>
    <row r="52" customFormat="false" ht="18" hidden="false" customHeight="true" outlineLevel="0" collapsed="false">
      <c r="A52" s="45" t="s">
        <v>306</v>
      </c>
      <c r="B52" s="27" t="n">
        <v>5</v>
      </c>
      <c r="C52" s="26" t="s">
        <v>335</v>
      </c>
      <c r="D52" s="30"/>
      <c r="E52" s="30"/>
      <c r="F52" s="30"/>
      <c r="G52" s="31"/>
      <c r="H52" s="31"/>
      <c r="I52" s="34" t="n">
        <f aca="false">ROUND(IFERROR($D52*$G52*(1-$H52),0),3)</f>
        <v>0</v>
      </c>
      <c r="J52" s="34" t="n">
        <f aca="false">ROUND(IFERROR($E52*$G52*(1-$H52),0),3)</f>
        <v>0</v>
      </c>
      <c r="K52" s="34" t="n">
        <f aca="false">ROUND(IFERROR($F52*$G52*(1-$H52),0),3)</f>
        <v>0</v>
      </c>
      <c r="L52" s="33"/>
    </row>
    <row r="53" customFormat="false" ht="18" hidden="false" customHeight="true" outlineLevel="0" collapsed="false">
      <c r="A53" s="45" t="s">
        <v>306</v>
      </c>
      <c r="B53" s="27" t="n">
        <v>6</v>
      </c>
      <c r="C53" s="26" t="s">
        <v>336</v>
      </c>
      <c r="D53" s="30"/>
      <c r="E53" s="30"/>
      <c r="F53" s="30"/>
      <c r="G53" s="31"/>
      <c r="H53" s="31"/>
      <c r="I53" s="34" t="n">
        <f aca="false">ROUND(IFERROR($D53*$G53*(1-$H53),0),3)</f>
        <v>0</v>
      </c>
      <c r="J53" s="34" t="n">
        <f aca="false">ROUND(IFERROR($E53*$G53*(1-$H53),0),3)</f>
        <v>0</v>
      </c>
      <c r="K53" s="34" t="n">
        <f aca="false">ROUND(IFERROR($F53*$G53*(1-$H53),0),3)</f>
        <v>0</v>
      </c>
      <c r="L53" s="33"/>
    </row>
    <row r="54" customFormat="false" ht="18" hidden="false" customHeight="true" outlineLevel="0" collapsed="false">
      <c r="A54" s="45" t="s">
        <v>306</v>
      </c>
      <c r="B54" s="27" t="n">
        <v>7</v>
      </c>
      <c r="C54" s="26" t="s">
        <v>337</v>
      </c>
      <c r="D54" s="30"/>
      <c r="E54" s="30"/>
      <c r="F54" s="30"/>
      <c r="G54" s="31"/>
      <c r="H54" s="31"/>
      <c r="I54" s="34" t="n">
        <f aca="false">ROUND(IFERROR($D54*$G54*(1-$H54),0),3)</f>
        <v>0</v>
      </c>
      <c r="J54" s="34" t="n">
        <f aca="false">ROUND(IFERROR($E54*$G54*(1-$H54),0),3)</f>
        <v>0</v>
      </c>
      <c r="K54" s="34" t="n">
        <f aca="false">ROUND(IFERROR($F54*$G54*(1-$H54),0),3)</f>
        <v>0</v>
      </c>
      <c r="L54" s="33"/>
    </row>
    <row r="55" customFormat="false" ht="18" hidden="false" customHeight="true" outlineLevel="0" collapsed="false">
      <c r="A55" s="54" t="s">
        <v>307</v>
      </c>
      <c r="B55" s="55" t="n">
        <v>1</v>
      </c>
      <c r="C55" s="56" t="s">
        <v>331</v>
      </c>
      <c r="D55" s="57"/>
      <c r="E55" s="57"/>
      <c r="F55" s="57"/>
      <c r="G55" s="58"/>
      <c r="H55" s="58"/>
      <c r="I55" s="59" t="n">
        <f aca="false">ROUND(IFERROR($D55*$G55*(1-$H55),0),3)</f>
        <v>0</v>
      </c>
      <c r="J55" s="59" t="n">
        <f aca="false">ROUND(IFERROR($E55*$G55*(1-$H55),0),3)</f>
        <v>0</v>
      </c>
      <c r="K55" s="59" t="n">
        <f aca="false">ROUND(IFERROR($F55*$G55*(1-$H55),0),3)</f>
        <v>0</v>
      </c>
      <c r="L55" s="60"/>
    </row>
    <row r="56" customFormat="false" ht="18" hidden="false" customHeight="true" outlineLevel="0" collapsed="false">
      <c r="A56" s="45" t="s">
        <v>307</v>
      </c>
      <c r="B56" s="27" t="n">
        <v>2</v>
      </c>
      <c r="C56" s="26" t="s">
        <v>332</v>
      </c>
      <c r="D56" s="30"/>
      <c r="E56" s="30"/>
      <c r="F56" s="30"/>
      <c r="G56" s="31"/>
      <c r="H56" s="31"/>
      <c r="I56" s="34" t="n">
        <f aca="false">ROUND(IFERROR($D56*$G56*(1-$H56),0),3)</f>
        <v>0</v>
      </c>
      <c r="J56" s="34" t="n">
        <f aca="false">ROUND(IFERROR($E56*$G56*(1-$H56),0),3)</f>
        <v>0</v>
      </c>
      <c r="K56" s="34" t="n">
        <f aca="false">ROUND(IFERROR($F56*$G56*(1-$H56),0),3)</f>
        <v>0</v>
      </c>
      <c r="L56" s="33"/>
    </row>
    <row r="57" customFormat="false" ht="18" hidden="false" customHeight="true" outlineLevel="0" collapsed="false">
      <c r="A57" s="45" t="s">
        <v>307</v>
      </c>
      <c r="B57" s="27" t="n">
        <v>3</v>
      </c>
      <c r="C57" s="26" t="s">
        <v>333</v>
      </c>
      <c r="D57" s="30"/>
      <c r="E57" s="30"/>
      <c r="F57" s="30"/>
      <c r="G57" s="31"/>
      <c r="H57" s="31"/>
      <c r="I57" s="34" t="n">
        <f aca="false">ROUND(IFERROR($D57*$G57*(1-$H57),0),3)</f>
        <v>0</v>
      </c>
      <c r="J57" s="34" t="n">
        <f aca="false">ROUND(IFERROR($E57*$G57*(1-$H57),0),3)</f>
        <v>0</v>
      </c>
      <c r="K57" s="34" t="n">
        <f aca="false">ROUND(IFERROR($F57*$G57*(1-$H57),0),3)</f>
        <v>0</v>
      </c>
      <c r="L57" s="33"/>
    </row>
    <row r="58" customFormat="false" ht="18" hidden="false" customHeight="true" outlineLevel="0" collapsed="false">
      <c r="A58" s="45" t="s">
        <v>307</v>
      </c>
      <c r="B58" s="27" t="n">
        <v>4</v>
      </c>
      <c r="C58" s="26" t="s">
        <v>334</v>
      </c>
      <c r="D58" s="30"/>
      <c r="E58" s="30"/>
      <c r="F58" s="30"/>
      <c r="G58" s="31"/>
      <c r="H58" s="31"/>
      <c r="I58" s="34" t="n">
        <f aca="false">ROUND(IFERROR($D58*$G58*(1-$H58),0),3)</f>
        <v>0</v>
      </c>
      <c r="J58" s="34" t="n">
        <f aca="false">ROUND(IFERROR($E58*$G58*(1-$H58),0),3)</f>
        <v>0</v>
      </c>
      <c r="K58" s="34" t="n">
        <f aca="false">ROUND(IFERROR($F58*$G58*(1-$H58),0),3)</f>
        <v>0</v>
      </c>
      <c r="L58" s="33"/>
    </row>
    <row r="59" customFormat="false" ht="18" hidden="false" customHeight="true" outlineLevel="0" collapsed="false">
      <c r="A59" s="45" t="s">
        <v>307</v>
      </c>
      <c r="B59" s="27" t="n">
        <v>5</v>
      </c>
      <c r="C59" s="26" t="s">
        <v>335</v>
      </c>
      <c r="D59" s="30"/>
      <c r="E59" s="30"/>
      <c r="F59" s="30"/>
      <c r="G59" s="31"/>
      <c r="H59" s="31"/>
      <c r="I59" s="34" t="n">
        <f aca="false">ROUND(IFERROR($D59*$G59*(1-$H59),0),3)</f>
        <v>0</v>
      </c>
      <c r="J59" s="34" t="n">
        <f aca="false">ROUND(IFERROR($E59*$G59*(1-$H59),0),3)</f>
        <v>0</v>
      </c>
      <c r="K59" s="34" t="n">
        <f aca="false">ROUND(IFERROR($F59*$G59*(1-$H59),0),3)</f>
        <v>0</v>
      </c>
      <c r="L59" s="33"/>
    </row>
    <row r="60" customFormat="false" ht="18" hidden="false" customHeight="true" outlineLevel="0" collapsed="false">
      <c r="A60" s="45" t="s">
        <v>307</v>
      </c>
      <c r="B60" s="27" t="n">
        <v>6</v>
      </c>
      <c r="C60" s="26" t="s">
        <v>336</v>
      </c>
      <c r="D60" s="30"/>
      <c r="E60" s="30"/>
      <c r="F60" s="30"/>
      <c r="G60" s="31"/>
      <c r="H60" s="31"/>
      <c r="I60" s="34" t="n">
        <f aca="false">ROUND(IFERROR($D60*$G60*(1-$H60),0),3)</f>
        <v>0</v>
      </c>
      <c r="J60" s="34" t="n">
        <f aca="false">ROUND(IFERROR($E60*$G60*(1-$H60),0),3)</f>
        <v>0</v>
      </c>
      <c r="K60" s="34" t="n">
        <f aca="false">ROUND(IFERROR($F60*$G60*(1-$H60),0),3)</f>
        <v>0</v>
      </c>
      <c r="L60" s="33"/>
    </row>
    <row r="61" customFormat="false" ht="18" hidden="false" customHeight="true" outlineLevel="0" collapsed="false">
      <c r="A61" s="45" t="s">
        <v>307</v>
      </c>
      <c r="B61" s="27" t="n">
        <v>7</v>
      </c>
      <c r="C61" s="26" t="s">
        <v>337</v>
      </c>
      <c r="D61" s="30"/>
      <c r="E61" s="30"/>
      <c r="F61" s="30"/>
      <c r="G61" s="31"/>
      <c r="H61" s="31"/>
      <c r="I61" s="34" t="n">
        <f aca="false">ROUND(IFERROR($D61*$G61*(1-$H61),0),3)</f>
        <v>0</v>
      </c>
      <c r="J61" s="34" t="n">
        <f aca="false">ROUND(IFERROR($E61*$G61*(1-$H61),0),3)</f>
        <v>0</v>
      </c>
      <c r="K61" s="34" t="n">
        <f aca="false">ROUND(IFERROR($F61*$G61*(1-$H61),0),3)</f>
        <v>0</v>
      </c>
      <c r="L61" s="33"/>
    </row>
    <row r="62" customFormat="false" ht="18" hidden="false" customHeight="true" outlineLevel="0" collapsed="false">
      <c r="A62" s="54" t="s">
        <v>308</v>
      </c>
      <c r="B62" s="55" t="n">
        <v>1</v>
      </c>
      <c r="C62" s="56" t="s">
        <v>331</v>
      </c>
      <c r="D62" s="57"/>
      <c r="E62" s="57"/>
      <c r="F62" s="57"/>
      <c r="G62" s="58"/>
      <c r="H62" s="58"/>
      <c r="I62" s="59" t="n">
        <f aca="false">ROUND(IFERROR($D62*$G62*(1-$H62),0),3)</f>
        <v>0</v>
      </c>
      <c r="J62" s="59" t="n">
        <f aca="false">ROUND(IFERROR($E62*$G62*(1-$H62),0),3)</f>
        <v>0</v>
      </c>
      <c r="K62" s="59" t="n">
        <f aca="false">ROUND(IFERROR($F62*$G62*(1-$H62),0),3)</f>
        <v>0</v>
      </c>
      <c r="L62" s="60"/>
    </row>
    <row r="63" customFormat="false" ht="18" hidden="false" customHeight="true" outlineLevel="0" collapsed="false">
      <c r="A63" s="45" t="s">
        <v>308</v>
      </c>
      <c r="B63" s="27" t="n">
        <v>2</v>
      </c>
      <c r="C63" s="26" t="s">
        <v>332</v>
      </c>
      <c r="D63" s="30"/>
      <c r="E63" s="30"/>
      <c r="F63" s="30"/>
      <c r="G63" s="31"/>
      <c r="H63" s="31"/>
      <c r="I63" s="34" t="n">
        <f aca="false">ROUND(IFERROR($D63*$G63*(1-$H63),0),3)</f>
        <v>0</v>
      </c>
      <c r="J63" s="34" t="n">
        <f aca="false">ROUND(IFERROR($E63*$G63*(1-$H63),0),3)</f>
        <v>0</v>
      </c>
      <c r="K63" s="34" t="n">
        <f aca="false">ROUND(IFERROR($F63*$G63*(1-$H63),0),3)</f>
        <v>0</v>
      </c>
      <c r="L63" s="33"/>
    </row>
    <row r="64" customFormat="false" ht="18" hidden="false" customHeight="true" outlineLevel="0" collapsed="false">
      <c r="A64" s="45" t="s">
        <v>308</v>
      </c>
      <c r="B64" s="27" t="n">
        <v>3</v>
      </c>
      <c r="C64" s="26" t="s">
        <v>333</v>
      </c>
      <c r="D64" s="30"/>
      <c r="E64" s="30"/>
      <c r="F64" s="30"/>
      <c r="G64" s="31"/>
      <c r="H64" s="31"/>
      <c r="I64" s="34" t="n">
        <f aca="false">ROUND(IFERROR($D64*$G64*(1-$H64),0),3)</f>
        <v>0</v>
      </c>
      <c r="J64" s="34" t="n">
        <f aca="false">ROUND(IFERROR($E64*$G64*(1-$H64),0),3)</f>
        <v>0</v>
      </c>
      <c r="K64" s="34" t="n">
        <f aca="false">ROUND(IFERROR($F64*$G64*(1-$H64),0),3)</f>
        <v>0</v>
      </c>
      <c r="L64" s="33"/>
    </row>
    <row r="65" customFormat="false" ht="18" hidden="false" customHeight="true" outlineLevel="0" collapsed="false">
      <c r="A65" s="45" t="s">
        <v>308</v>
      </c>
      <c r="B65" s="27" t="n">
        <v>4</v>
      </c>
      <c r="C65" s="26" t="s">
        <v>334</v>
      </c>
      <c r="D65" s="30"/>
      <c r="E65" s="30"/>
      <c r="F65" s="30"/>
      <c r="G65" s="31"/>
      <c r="H65" s="31"/>
      <c r="I65" s="34" t="n">
        <f aca="false">ROUND(IFERROR($D65*$G65*(1-$H65),0),3)</f>
        <v>0</v>
      </c>
      <c r="J65" s="34" t="n">
        <f aca="false">ROUND(IFERROR($E65*$G65*(1-$H65),0),3)</f>
        <v>0</v>
      </c>
      <c r="K65" s="34" t="n">
        <f aca="false">ROUND(IFERROR($F65*$G65*(1-$H65),0),3)</f>
        <v>0</v>
      </c>
      <c r="L65" s="33"/>
    </row>
    <row r="66" customFormat="false" ht="18" hidden="false" customHeight="true" outlineLevel="0" collapsed="false">
      <c r="A66" s="45" t="s">
        <v>308</v>
      </c>
      <c r="B66" s="27" t="n">
        <v>5</v>
      </c>
      <c r="C66" s="26" t="s">
        <v>335</v>
      </c>
      <c r="D66" s="30"/>
      <c r="E66" s="30"/>
      <c r="F66" s="30"/>
      <c r="G66" s="31"/>
      <c r="H66" s="31"/>
      <c r="I66" s="34" t="n">
        <f aca="false">ROUND(IFERROR($D66*$G66*(1-$H66),0),3)</f>
        <v>0</v>
      </c>
      <c r="J66" s="34" t="n">
        <f aca="false">ROUND(IFERROR($E66*$G66*(1-$H66),0),3)</f>
        <v>0</v>
      </c>
      <c r="K66" s="34" t="n">
        <f aca="false">ROUND(IFERROR($F66*$G66*(1-$H66),0),3)</f>
        <v>0</v>
      </c>
      <c r="L66" s="33"/>
    </row>
    <row r="67" customFormat="false" ht="18" hidden="false" customHeight="true" outlineLevel="0" collapsed="false">
      <c r="A67" s="45" t="s">
        <v>308</v>
      </c>
      <c r="B67" s="27" t="n">
        <v>6</v>
      </c>
      <c r="C67" s="26" t="s">
        <v>336</v>
      </c>
      <c r="D67" s="30"/>
      <c r="E67" s="30"/>
      <c r="F67" s="30"/>
      <c r="G67" s="31"/>
      <c r="H67" s="31"/>
      <c r="I67" s="34" t="n">
        <f aca="false">ROUND(IFERROR($D67*$G67*(1-$H67),0),3)</f>
        <v>0</v>
      </c>
      <c r="J67" s="34" t="n">
        <f aca="false">ROUND(IFERROR($E67*$G67*(1-$H67),0),3)</f>
        <v>0</v>
      </c>
      <c r="K67" s="34" t="n">
        <f aca="false">ROUND(IFERROR($F67*$G67*(1-$H67),0),3)</f>
        <v>0</v>
      </c>
      <c r="L67" s="33"/>
    </row>
    <row r="68" customFormat="false" ht="18" hidden="false" customHeight="true" outlineLevel="0" collapsed="false">
      <c r="A68" s="45" t="s">
        <v>308</v>
      </c>
      <c r="B68" s="27" t="n">
        <v>7</v>
      </c>
      <c r="C68" s="26" t="s">
        <v>337</v>
      </c>
      <c r="D68" s="30"/>
      <c r="E68" s="30"/>
      <c r="F68" s="30"/>
      <c r="G68" s="31"/>
      <c r="H68" s="31"/>
      <c r="I68" s="34" t="n">
        <f aca="false">ROUND(IFERROR($D68*$G68*(1-$H68),0),3)</f>
        <v>0</v>
      </c>
      <c r="J68" s="34" t="n">
        <f aca="false">ROUND(IFERROR($E68*$G68*(1-$H68),0),3)</f>
        <v>0</v>
      </c>
      <c r="K68" s="34" t="n">
        <f aca="false">ROUND(IFERROR($F68*$G68*(1-$H68),0),3)</f>
        <v>0</v>
      </c>
      <c r="L68" s="33"/>
    </row>
    <row r="69" customFormat="false" ht="18" hidden="false" customHeight="true" outlineLevel="0" collapsed="false">
      <c r="A69" s="54" t="s">
        <v>309</v>
      </c>
      <c r="B69" s="55" t="n">
        <v>1</v>
      </c>
      <c r="C69" s="56" t="s">
        <v>331</v>
      </c>
      <c r="D69" s="57"/>
      <c r="E69" s="57"/>
      <c r="F69" s="57"/>
      <c r="G69" s="58"/>
      <c r="H69" s="58"/>
      <c r="I69" s="59" t="n">
        <f aca="false">ROUND(IFERROR($D69*$G69*(1-$H69),0),3)</f>
        <v>0</v>
      </c>
      <c r="J69" s="59" t="n">
        <f aca="false">ROUND(IFERROR($E69*$G69*(1-$H69),0),3)</f>
        <v>0</v>
      </c>
      <c r="K69" s="59" t="n">
        <f aca="false">ROUND(IFERROR($F69*$G69*(1-$H69),0),3)</f>
        <v>0</v>
      </c>
      <c r="L69" s="60"/>
    </row>
    <row r="70" customFormat="false" ht="18" hidden="false" customHeight="true" outlineLevel="0" collapsed="false">
      <c r="A70" s="45" t="s">
        <v>309</v>
      </c>
      <c r="B70" s="27" t="n">
        <v>2</v>
      </c>
      <c r="C70" s="26" t="s">
        <v>332</v>
      </c>
      <c r="D70" s="30"/>
      <c r="E70" s="30"/>
      <c r="F70" s="30"/>
      <c r="G70" s="31"/>
      <c r="H70" s="31"/>
      <c r="I70" s="34" t="n">
        <f aca="false">ROUND(IFERROR($D70*$G70*(1-$H70),0),3)</f>
        <v>0</v>
      </c>
      <c r="J70" s="34" t="n">
        <f aca="false">ROUND(IFERROR($E70*$G70*(1-$H70),0),3)</f>
        <v>0</v>
      </c>
      <c r="K70" s="34" t="n">
        <f aca="false">ROUND(IFERROR($F70*$G70*(1-$H70),0),3)</f>
        <v>0</v>
      </c>
      <c r="L70" s="33"/>
    </row>
    <row r="71" customFormat="false" ht="18" hidden="false" customHeight="true" outlineLevel="0" collapsed="false">
      <c r="A71" s="45" t="s">
        <v>309</v>
      </c>
      <c r="B71" s="27" t="n">
        <v>3</v>
      </c>
      <c r="C71" s="26" t="s">
        <v>333</v>
      </c>
      <c r="D71" s="30"/>
      <c r="E71" s="30"/>
      <c r="F71" s="30"/>
      <c r="G71" s="31"/>
      <c r="H71" s="31"/>
      <c r="I71" s="34" t="n">
        <f aca="false">ROUND(IFERROR($D71*$G71*(1-$H71),0),3)</f>
        <v>0</v>
      </c>
      <c r="J71" s="34" t="n">
        <f aca="false">ROUND(IFERROR($E71*$G71*(1-$H71),0),3)</f>
        <v>0</v>
      </c>
      <c r="K71" s="34" t="n">
        <f aca="false">ROUND(IFERROR($F71*$G71*(1-$H71),0),3)</f>
        <v>0</v>
      </c>
      <c r="L71" s="33"/>
    </row>
    <row r="72" customFormat="false" ht="18" hidden="false" customHeight="true" outlineLevel="0" collapsed="false">
      <c r="A72" s="45" t="s">
        <v>309</v>
      </c>
      <c r="B72" s="27" t="n">
        <v>4</v>
      </c>
      <c r="C72" s="26" t="s">
        <v>334</v>
      </c>
      <c r="D72" s="30"/>
      <c r="E72" s="30"/>
      <c r="F72" s="30"/>
      <c r="G72" s="31"/>
      <c r="H72" s="31"/>
      <c r="I72" s="34" t="n">
        <f aca="false">ROUND(IFERROR($D72*$G72*(1-$H72),0),3)</f>
        <v>0</v>
      </c>
      <c r="J72" s="34" t="n">
        <f aca="false">ROUND(IFERROR($E72*$G72*(1-$H72),0),3)</f>
        <v>0</v>
      </c>
      <c r="K72" s="34" t="n">
        <f aca="false">ROUND(IFERROR($F72*$G72*(1-$H72),0),3)</f>
        <v>0</v>
      </c>
      <c r="L72" s="33"/>
    </row>
    <row r="73" customFormat="false" ht="18" hidden="false" customHeight="true" outlineLevel="0" collapsed="false">
      <c r="A73" s="45" t="s">
        <v>309</v>
      </c>
      <c r="B73" s="27" t="n">
        <v>5</v>
      </c>
      <c r="C73" s="26" t="s">
        <v>335</v>
      </c>
      <c r="D73" s="30"/>
      <c r="E73" s="30"/>
      <c r="F73" s="30"/>
      <c r="G73" s="31"/>
      <c r="H73" s="31"/>
      <c r="I73" s="34" t="n">
        <f aca="false">ROUND(IFERROR($D73*$G73*(1-$H73),0),3)</f>
        <v>0</v>
      </c>
      <c r="J73" s="34" t="n">
        <f aca="false">ROUND(IFERROR($E73*$G73*(1-$H73),0),3)</f>
        <v>0</v>
      </c>
      <c r="K73" s="34" t="n">
        <f aca="false">ROUND(IFERROR($F73*$G73*(1-$H73),0),3)</f>
        <v>0</v>
      </c>
      <c r="L73" s="33"/>
    </row>
    <row r="74" customFormat="false" ht="18" hidden="false" customHeight="true" outlineLevel="0" collapsed="false">
      <c r="A74" s="45" t="s">
        <v>309</v>
      </c>
      <c r="B74" s="27" t="n">
        <v>6</v>
      </c>
      <c r="C74" s="26" t="s">
        <v>336</v>
      </c>
      <c r="D74" s="30"/>
      <c r="E74" s="30"/>
      <c r="F74" s="30"/>
      <c r="G74" s="31"/>
      <c r="H74" s="31"/>
      <c r="I74" s="34" t="n">
        <f aca="false">ROUND(IFERROR($D74*$G74*(1-$H74),0),3)</f>
        <v>0</v>
      </c>
      <c r="J74" s="34" t="n">
        <f aca="false">ROUND(IFERROR($E74*$G74*(1-$H74),0),3)</f>
        <v>0</v>
      </c>
      <c r="K74" s="34" t="n">
        <f aca="false">ROUND(IFERROR($F74*$G74*(1-$H74),0),3)</f>
        <v>0</v>
      </c>
      <c r="L74" s="33"/>
    </row>
    <row r="75" customFormat="false" ht="18" hidden="false" customHeight="true" outlineLevel="0" collapsed="false">
      <c r="A75" s="45" t="s">
        <v>309</v>
      </c>
      <c r="B75" s="27" t="n">
        <v>7</v>
      </c>
      <c r="C75" s="26" t="s">
        <v>337</v>
      </c>
      <c r="D75" s="30"/>
      <c r="E75" s="30"/>
      <c r="F75" s="30"/>
      <c r="G75" s="31"/>
      <c r="H75" s="31"/>
      <c r="I75" s="34" t="n">
        <f aca="false">ROUND(IFERROR($D75*$G75*(1-$H75),0),3)</f>
        <v>0</v>
      </c>
      <c r="J75" s="34" t="n">
        <f aca="false">ROUND(IFERROR($E75*$G75*(1-$H75),0),3)</f>
        <v>0</v>
      </c>
      <c r="K75" s="34" t="n">
        <f aca="false">ROUND(IFERROR($F75*$G75*(1-$H75),0),3)</f>
        <v>0</v>
      </c>
      <c r="L75" s="33"/>
    </row>
    <row r="76" customFormat="false" ht="18" hidden="false" customHeight="true" outlineLevel="0" collapsed="false">
      <c r="A76" s="54" t="s">
        <v>310</v>
      </c>
      <c r="B76" s="55" t="n">
        <v>1</v>
      </c>
      <c r="C76" s="56" t="s">
        <v>331</v>
      </c>
      <c r="D76" s="57"/>
      <c r="E76" s="57"/>
      <c r="F76" s="57"/>
      <c r="G76" s="58"/>
      <c r="H76" s="58"/>
      <c r="I76" s="59" t="n">
        <f aca="false">ROUND(IFERROR($D76*$G76*(1-$H76),0),3)</f>
        <v>0</v>
      </c>
      <c r="J76" s="59" t="n">
        <f aca="false">ROUND(IFERROR($E76*$G76*(1-$H76),0),3)</f>
        <v>0</v>
      </c>
      <c r="K76" s="59" t="n">
        <f aca="false">ROUND(IFERROR($F76*$G76*(1-$H76),0),3)</f>
        <v>0</v>
      </c>
      <c r="L76" s="60"/>
    </row>
    <row r="77" customFormat="false" ht="18" hidden="false" customHeight="true" outlineLevel="0" collapsed="false">
      <c r="A77" s="45" t="s">
        <v>310</v>
      </c>
      <c r="B77" s="27" t="n">
        <v>2</v>
      </c>
      <c r="C77" s="26" t="s">
        <v>332</v>
      </c>
      <c r="D77" s="30"/>
      <c r="E77" s="30"/>
      <c r="F77" s="30"/>
      <c r="G77" s="31"/>
      <c r="H77" s="31"/>
      <c r="I77" s="34" t="n">
        <f aca="false">ROUND(IFERROR($D77*$G77*(1-$H77),0),3)</f>
        <v>0</v>
      </c>
      <c r="J77" s="34" t="n">
        <f aca="false">ROUND(IFERROR($E77*$G77*(1-$H77),0),3)</f>
        <v>0</v>
      </c>
      <c r="K77" s="34" t="n">
        <f aca="false">ROUND(IFERROR($F77*$G77*(1-$H77),0),3)</f>
        <v>0</v>
      </c>
      <c r="L77" s="33"/>
    </row>
    <row r="78" customFormat="false" ht="18" hidden="false" customHeight="true" outlineLevel="0" collapsed="false">
      <c r="A78" s="45" t="s">
        <v>310</v>
      </c>
      <c r="B78" s="27" t="n">
        <v>3</v>
      </c>
      <c r="C78" s="26" t="s">
        <v>333</v>
      </c>
      <c r="D78" s="30"/>
      <c r="E78" s="30"/>
      <c r="F78" s="30"/>
      <c r="G78" s="31"/>
      <c r="H78" s="31"/>
      <c r="I78" s="34" t="n">
        <f aca="false">ROUND(IFERROR($D78*$G78*(1-$H78),0),3)</f>
        <v>0</v>
      </c>
      <c r="J78" s="34" t="n">
        <f aca="false">ROUND(IFERROR($E78*$G78*(1-$H78),0),3)</f>
        <v>0</v>
      </c>
      <c r="K78" s="34" t="n">
        <f aca="false">ROUND(IFERROR($F78*$G78*(1-$H78),0),3)</f>
        <v>0</v>
      </c>
      <c r="L78" s="33"/>
    </row>
    <row r="79" customFormat="false" ht="18" hidden="false" customHeight="true" outlineLevel="0" collapsed="false">
      <c r="A79" s="45" t="s">
        <v>310</v>
      </c>
      <c r="B79" s="27" t="n">
        <v>4</v>
      </c>
      <c r="C79" s="26" t="s">
        <v>334</v>
      </c>
      <c r="D79" s="30"/>
      <c r="E79" s="30"/>
      <c r="F79" s="30"/>
      <c r="G79" s="31"/>
      <c r="H79" s="31"/>
      <c r="I79" s="34" t="n">
        <f aca="false">ROUND(IFERROR($D79*$G79*(1-$H79),0),3)</f>
        <v>0</v>
      </c>
      <c r="J79" s="34" t="n">
        <f aca="false">ROUND(IFERROR($E79*$G79*(1-$H79),0),3)</f>
        <v>0</v>
      </c>
      <c r="K79" s="34" t="n">
        <f aca="false">ROUND(IFERROR($F79*$G79*(1-$H79),0),3)</f>
        <v>0</v>
      </c>
      <c r="L79" s="33"/>
    </row>
    <row r="80" customFormat="false" ht="18" hidden="false" customHeight="true" outlineLevel="0" collapsed="false">
      <c r="A80" s="45" t="s">
        <v>310</v>
      </c>
      <c r="B80" s="27" t="n">
        <v>5</v>
      </c>
      <c r="C80" s="26" t="s">
        <v>335</v>
      </c>
      <c r="D80" s="30"/>
      <c r="E80" s="30"/>
      <c r="F80" s="30"/>
      <c r="G80" s="31"/>
      <c r="H80" s="31"/>
      <c r="I80" s="34" t="n">
        <f aca="false">ROUND(IFERROR($D80*$G80*(1-$H80),0),3)</f>
        <v>0</v>
      </c>
      <c r="J80" s="34" t="n">
        <f aca="false">ROUND(IFERROR($E80*$G80*(1-$H80),0),3)</f>
        <v>0</v>
      </c>
      <c r="K80" s="34" t="n">
        <f aca="false">ROUND(IFERROR($F80*$G80*(1-$H80),0),3)</f>
        <v>0</v>
      </c>
      <c r="L80" s="33"/>
    </row>
    <row r="81" customFormat="false" ht="18" hidden="false" customHeight="true" outlineLevel="0" collapsed="false">
      <c r="A81" s="45" t="s">
        <v>310</v>
      </c>
      <c r="B81" s="27" t="n">
        <v>6</v>
      </c>
      <c r="C81" s="26" t="s">
        <v>336</v>
      </c>
      <c r="D81" s="30"/>
      <c r="E81" s="30"/>
      <c r="F81" s="30"/>
      <c r="G81" s="31"/>
      <c r="H81" s="31"/>
      <c r="I81" s="34" t="n">
        <f aca="false">ROUND(IFERROR($D81*$G81*(1-$H81),0),3)</f>
        <v>0</v>
      </c>
      <c r="J81" s="34" t="n">
        <f aca="false">ROUND(IFERROR($E81*$G81*(1-$H81),0),3)</f>
        <v>0</v>
      </c>
      <c r="K81" s="34" t="n">
        <f aca="false">ROUND(IFERROR($F81*$G81*(1-$H81),0),3)</f>
        <v>0</v>
      </c>
      <c r="L81" s="33"/>
    </row>
    <row r="82" customFormat="false" ht="18" hidden="false" customHeight="true" outlineLevel="0" collapsed="false">
      <c r="A82" s="45" t="s">
        <v>310</v>
      </c>
      <c r="B82" s="27" t="n">
        <v>7</v>
      </c>
      <c r="C82" s="26" t="s">
        <v>337</v>
      </c>
      <c r="D82" s="30"/>
      <c r="E82" s="30"/>
      <c r="F82" s="30"/>
      <c r="G82" s="31"/>
      <c r="H82" s="31"/>
      <c r="I82" s="34" t="n">
        <f aca="false">ROUND(IFERROR($D82*$G82*(1-$H82),0),3)</f>
        <v>0</v>
      </c>
      <c r="J82" s="34" t="n">
        <f aca="false">ROUND(IFERROR($E82*$G82*(1-$H82),0),3)</f>
        <v>0</v>
      </c>
      <c r="K82" s="34" t="n">
        <f aca="false">ROUND(IFERROR($F82*$G82*(1-$H82),0),3)</f>
        <v>0</v>
      </c>
      <c r="L82" s="33"/>
    </row>
    <row r="83" customFormat="false" ht="18" hidden="false" customHeight="true" outlineLevel="0" collapsed="false">
      <c r="A83" s="54" t="s">
        <v>311</v>
      </c>
      <c r="B83" s="55" t="n">
        <v>1</v>
      </c>
      <c r="C83" s="56" t="s">
        <v>331</v>
      </c>
      <c r="D83" s="57"/>
      <c r="E83" s="57"/>
      <c r="F83" s="57"/>
      <c r="G83" s="58"/>
      <c r="H83" s="58"/>
      <c r="I83" s="59" t="n">
        <f aca="false">ROUND(IFERROR($D83*$G83*(1-$H83),0),3)</f>
        <v>0</v>
      </c>
      <c r="J83" s="59" t="n">
        <f aca="false">ROUND(IFERROR($E83*$G83*(1-$H83),0),3)</f>
        <v>0</v>
      </c>
      <c r="K83" s="59" t="n">
        <f aca="false">ROUND(IFERROR($F83*$G83*(1-$H83),0),3)</f>
        <v>0</v>
      </c>
      <c r="L83" s="60"/>
    </row>
    <row r="84" customFormat="false" ht="18" hidden="false" customHeight="true" outlineLevel="0" collapsed="false">
      <c r="A84" s="45" t="s">
        <v>311</v>
      </c>
      <c r="B84" s="27" t="n">
        <v>2</v>
      </c>
      <c r="C84" s="26" t="s">
        <v>332</v>
      </c>
      <c r="D84" s="30"/>
      <c r="E84" s="30"/>
      <c r="F84" s="30"/>
      <c r="G84" s="31"/>
      <c r="H84" s="31"/>
      <c r="I84" s="34" t="n">
        <f aca="false">ROUND(IFERROR($D84*$G84*(1-$H84),0),3)</f>
        <v>0</v>
      </c>
      <c r="J84" s="34" t="n">
        <f aca="false">ROUND(IFERROR($E84*$G84*(1-$H84),0),3)</f>
        <v>0</v>
      </c>
      <c r="K84" s="34" t="n">
        <f aca="false">ROUND(IFERROR($F84*$G84*(1-$H84),0),3)</f>
        <v>0</v>
      </c>
      <c r="L84" s="33"/>
    </row>
    <row r="85" customFormat="false" ht="18" hidden="false" customHeight="true" outlineLevel="0" collapsed="false">
      <c r="A85" s="45" t="s">
        <v>311</v>
      </c>
      <c r="B85" s="27" t="n">
        <v>3</v>
      </c>
      <c r="C85" s="26" t="s">
        <v>333</v>
      </c>
      <c r="D85" s="30"/>
      <c r="E85" s="30"/>
      <c r="F85" s="30"/>
      <c r="G85" s="31"/>
      <c r="H85" s="31"/>
      <c r="I85" s="34" t="n">
        <f aca="false">ROUND(IFERROR($D85*$G85*(1-$H85),0),3)</f>
        <v>0</v>
      </c>
      <c r="J85" s="34" t="n">
        <f aca="false">ROUND(IFERROR($E85*$G85*(1-$H85),0),3)</f>
        <v>0</v>
      </c>
      <c r="K85" s="34" t="n">
        <f aca="false">ROUND(IFERROR($F85*$G85*(1-$H85),0),3)</f>
        <v>0</v>
      </c>
      <c r="L85" s="33"/>
    </row>
    <row r="86" customFormat="false" ht="18" hidden="false" customHeight="true" outlineLevel="0" collapsed="false">
      <c r="A86" s="45" t="s">
        <v>311</v>
      </c>
      <c r="B86" s="27" t="n">
        <v>4</v>
      </c>
      <c r="C86" s="26" t="s">
        <v>334</v>
      </c>
      <c r="D86" s="30"/>
      <c r="E86" s="30"/>
      <c r="F86" s="30"/>
      <c r="G86" s="31"/>
      <c r="H86" s="31"/>
      <c r="I86" s="34" t="n">
        <f aca="false">ROUND(IFERROR($D86*$G86*(1-$H86),0),3)</f>
        <v>0</v>
      </c>
      <c r="J86" s="34" t="n">
        <f aca="false">ROUND(IFERROR($E86*$G86*(1-$H86),0),3)</f>
        <v>0</v>
      </c>
      <c r="K86" s="34" t="n">
        <f aca="false">ROUND(IFERROR($F86*$G86*(1-$H86),0),3)</f>
        <v>0</v>
      </c>
      <c r="L86" s="33"/>
    </row>
    <row r="87" customFormat="false" ht="18" hidden="false" customHeight="true" outlineLevel="0" collapsed="false">
      <c r="A87" s="45" t="s">
        <v>311</v>
      </c>
      <c r="B87" s="27" t="n">
        <v>5</v>
      </c>
      <c r="C87" s="26" t="s">
        <v>335</v>
      </c>
      <c r="D87" s="30"/>
      <c r="E87" s="30"/>
      <c r="F87" s="30"/>
      <c r="G87" s="31"/>
      <c r="H87" s="31"/>
      <c r="I87" s="34" t="n">
        <f aca="false">ROUND(IFERROR($D87*$G87*(1-$H87),0),3)</f>
        <v>0</v>
      </c>
      <c r="J87" s="34" t="n">
        <f aca="false">ROUND(IFERROR($E87*$G87*(1-$H87),0),3)</f>
        <v>0</v>
      </c>
      <c r="K87" s="34" t="n">
        <f aca="false">ROUND(IFERROR($F87*$G87*(1-$H87),0),3)</f>
        <v>0</v>
      </c>
      <c r="L87" s="33"/>
    </row>
    <row r="88" customFormat="false" ht="18" hidden="false" customHeight="true" outlineLevel="0" collapsed="false">
      <c r="A88" s="45" t="s">
        <v>311</v>
      </c>
      <c r="B88" s="27" t="n">
        <v>6</v>
      </c>
      <c r="C88" s="26" t="s">
        <v>336</v>
      </c>
      <c r="D88" s="30"/>
      <c r="E88" s="30"/>
      <c r="F88" s="30"/>
      <c r="G88" s="31"/>
      <c r="H88" s="31"/>
      <c r="I88" s="34" t="n">
        <f aca="false">ROUND(IFERROR($D88*$G88*(1-$H88),0),3)</f>
        <v>0</v>
      </c>
      <c r="J88" s="34" t="n">
        <f aca="false">ROUND(IFERROR($E88*$G88*(1-$H88),0),3)</f>
        <v>0</v>
      </c>
      <c r="K88" s="34" t="n">
        <f aca="false">ROUND(IFERROR($F88*$G88*(1-$H88),0),3)</f>
        <v>0</v>
      </c>
      <c r="L88" s="33"/>
    </row>
    <row r="89" customFormat="false" ht="18" hidden="false" customHeight="true" outlineLevel="0" collapsed="false">
      <c r="A89" s="45" t="s">
        <v>311</v>
      </c>
      <c r="B89" s="27" t="n">
        <v>7</v>
      </c>
      <c r="C89" s="26" t="s">
        <v>337</v>
      </c>
      <c r="D89" s="30"/>
      <c r="E89" s="30"/>
      <c r="F89" s="30"/>
      <c r="G89" s="31"/>
      <c r="H89" s="31"/>
      <c r="I89" s="34" t="n">
        <f aca="false">ROUND(IFERROR($D89*$G89*(1-$H89),0),3)</f>
        <v>0</v>
      </c>
      <c r="J89" s="34" t="n">
        <f aca="false">ROUND(IFERROR($E89*$G89*(1-$H89),0),3)</f>
        <v>0</v>
      </c>
      <c r="K89" s="34" t="n">
        <f aca="false">ROUND(IFERROR($F89*$G89*(1-$H89),0),3)</f>
        <v>0</v>
      </c>
      <c r="L89" s="33"/>
    </row>
    <row r="91" customFormat="false" ht="19.5" hidden="false" customHeight="true" outlineLevel="0" collapsed="false">
      <c r="A91" s="4" t="s">
        <v>338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customFormat="false" ht="24" hidden="false" customHeight="true" outlineLevel="0" collapsed="false">
      <c r="A92" s="24" t="s">
        <v>109</v>
      </c>
      <c r="B92" s="24" t="s">
        <v>66</v>
      </c>
      <c r="C92" s="24" t="s">
        <v>304</v>
      </c>
      <c r="D92" s="24" t="s">
        <v>305</v>
      </c>
      <c r="E92" s="24" t="s">
        <v>306</v>
      </c>
      <c r="F92" s="24" t="s">
        <v>307</v>
      </c>
      <c r="G92" s="24" t="s">
        <v>308</v>
      </c>
      <c r="H92" s="24" t="s">
        <v>309</v>
      </c>
      <c r="I92" s="24" t="s">
        <v>310</v>
      </c>
      <c r="J92" s="24" t="s">
        <v>311</v>
      </c>
    </row>
    <row r="93" customFormat="false" ht="18" hidden="false" customHeight="true" outlineLevel="0" collapsed="false">
      <c r="A93" s="26" t="s">
        <v>339</v>
      </c>
      <c r="B93" s="27" t="s">
        <v>75</v>
      </c>
      <c r="C93" s="34" t="n">
        <f aca="false">$K7</f>
        <v>0</v>
      </c>
      <c r="D93" s="34" t="n">
        <f aca="false">$K8</f>
        <v>0</v>
      </c>
      <c r="E93" s="34" t="n">
        <f aca="false">$K9</f>
        <v>0</v>
      </c>
      <c r="F93" s="34" t="n">
        <f aca="false">$K10</f>
        <v>0</v>
      </c>
      <c r="G93" s="34" t="n">
        <f aca="false">$K11</f>
        <v>0</v>
      </c>
      <c r="H93" s="34" t="n">
        <f aca="false">$K12</f>
        <v>0</v>
      </c>
      <c r="I93" s="34" t="n">
        <f aca="false">$K13</f>
        <v>0</v>
      </c>
      <c r="J93" s="34" t="n">
        <f aca="false">$K14</f>
        <v>0</v>
      </c>
    </row>
    <row r="94" customFormat="false" ht="18" hidden="false" customHeight="true" outlineLevel="0" collapsed="false">
      <c r="A94" s="26" t="s">
        <v>340</v>
      </c>
      <c r="B94" s="27" t="s">
        <v>75</v>
      </c>
      <c r="C94" s="34" t="n">
        <f aca="false">$M7</f>
        <v>0</v>
      </c>
      <c r="D94" s="34" t="n">
        <f aca="false">$M8</f>
        <v>0</v>
      </c>
      <c r="E94" s="34" t="n">
        <f aca="false">$M9</f>
        <v>0</v>
      </c>
      <c r="F94" s="34" t="n">
        <f aca="false">$M10</f>
        <v>0</v>
      </c>
      <c r="G94" s="34" t="n">
        <f aca="false">$M11</f>
        <v>0</v>
      </c>
      <c r="H94" s="34" t="n">
        <f aca="false">$M12</f>
        <v>0</v>
      </c>
      <c r="I94" s="34" t="n">
        <f aca="false">$M13</f>
        <v>0</v>
      </c>
      <c r="J94" s="34" t="n">
        <f aca="false">$M14</f>
        <v>0</v>
      </c>
    </row>
    <row r="95" customFormat="false" ht="18" hidden="false" customHeight="true" outlineLevel="0" collapsed="false">
      <c r="A95" s="36" t="s">
        <v>341</v>
      </c>
      <c r="B95" s="27" t="s">
        <v>75</v>
      </c>
      <c r="C95" s="61" t="n">
        <f aca="false">$N7</f>
        <v>0</v>
      </c>
      <c r="D95" s="61" t="n">
        <f aca="false">$N8</f>
        <v>0</v>
      </c>
      <c r="E95" s="61" t="n">
        <f aca="false">$N9</f>
        <v>0</v>
      </c>
      <c r="F95" s="61" t="n">
        <f aca="false">$N10</f>
        <v>0</v>
      </c>
      <c r="G95" s="61" t="n">
        <f aca="false">$N11</f>
        <v>0</v>
      </c>
      <c r="H95" s="61" t="n">
        <f aca="false">$N12</f>
        <v>0</v>
      </c>
      <c r="I95" s="61" t="n">
        <f aca="false">$N13</f>
        <v>0</v>
      </c>
      <c r="J95" s="61" t="n">
        <f aca="false">$N14</f>
        <v>0</v>
      </c>
    </row>
    <row r="96" customFormat="false" ht="18" hidden="false" customHeight="true" outlineLevel="0" collapsed="false">
      <c r="A96" s="26" t="s">
        <v>342</v>
      </c>
      <c r="B96" s="27" t="s">
        <v>75</v>
      </c>
      <c r="C96" s="34" t="n">
        <f aca="false">$O7</f>
        <v>0</v>
      </c>
      <c r="D96" s="34" t="n">
        <f aca="false">$O8</f>
        <v>0</v>
      </c>
      <c r="E96" s="34" t="n">
        <f aca="false">$O9</f>
        <v>0</v>
      </c>
      <c r="F96" s="34" t="n">
        <f aca="false">$O10</f>
        <v>0</v>
      </c>
      <c r="G96" s="34" t="n">
        <f aca="false">$O11</f>
        <v>0</v>
      </c>
      <c r="H96" s="34" t="n">
        <f aca="false">$O12</f>
        <v>0</v>
      </c>
      <c r="I96" s="34" t="n">
        <f aca="false">$O13</f>
        <v>0</v>
      </c>
      <c r="J96" s="34" t="n">
        <f aca="false">$O14</f>
        <v>0</v>
      </c>
    </row>
    <row r="97" customFormat="false" ht="18" hidden="false" customHeight="true" outlineLevel="0" collapsed="false">
      <c r="A97" s="26" t="s">
        <v>343</v>
      </c>
      <c r="B97" s="27" t="s">
        <v>89</v>
      </c>
      <c r="C97" s="35" t="n">
        <f aca="false">IFERROR(ROUND(SUMPRODUCT(C$19:C$30,PROCESY!$O$6:$O$17,PROCESY!$Q$6:$Q$17),2),0)</f>
        <v>0</v>
      </c>
      <c r="D97" s="35" t="n">
        <f aca="false">IFERROR(ROUND(SUMPRODUCT(D$19:D$30,PROCESY!$O$6:$O$17,PROCESY!$Q$6:$Q$17),2),0)</f>
        <v>0</v>
      </c>
      <c r="E97" s="35" t="n">
        <f aca="false">IFERROR(ROUND(SUMPRODUCT(E$19:E$30,PROCESY!$O$6:$O$17,PROCESY!$Q$6:$Q$17),2),0)</f>
        <v>0</v>
      </c>
      <c r="F97" s="35" t="n">
        <f aca="false">IFERROR(ROUND(SUMPRODUCT(F$19:F$30,PROCESY!$O$6:$O$17,PROCESY!$Q$6:$Q$17),2),0)</f>
        <v>0</v>
      </c>
      <c r="G97" s="35" t="n">
        <f aca="false">IFERROR(ROUND(SUMPRODUCT(G$19:G$30,PROCESY!$O$6:$O$17,PROCESY!$Q$6:$Q$17),2),0)</f>
        <v>0</v>
      </c>
      <c r="H97" s="35" t="n">
        <f aca="false">IFERROR(ROUND(SUMPRODUCT(H$19:H$30,PROCESY!$O$6:$O$17,PROCESY!$Q$6:$Q$17),2),0)</f>
        <v>0</v>
      </c>
      <c r="I97" s="35" t="n">
        <f aca="false">IFERROR(ROUND(SUMPRODUCT(I$19:I$30,PROCESY!$O$6:$O$17,PROCESY!$Q$6:$Q$17),2),0)</f>
        <v>0</v>
      </c>
      <c r="J97" s="35" t="n">
        <f aca="false">IFERROR(ROUND(SUMPRODUCT(J$19:J$30,PROCESY!$O$6:$O$17,PROCESY!$Q$6:$Q$17),2),0)</f>
        <v>0</v>
      </c>
    </row>
    <row r="98" customFormat="false" ht="18" hidden="false" customHeight="true" outlineLevel="0" collapsed="false">
      <c r="A98" s="26" t="s">
        <v>344</v>
      </c>
      <c r="B98" s="27" t="s">
        <v>106</v>
      </c>
      <c r="C98" s="35" t="n">
        <f aca="false">IFERROR(ROUND($M7*SUMPRODUCT(C$19:C$30,PROCESY!$O$6:$O$17,PROCESY!$P$6:$P$17),2),0)</f>
        <v>0</v>
      </c>
      <c r="D98" s="35" t="n">
        <f aca="false">IFERROR(ROUND($M8*SUMPRODUCT(D$19:D$30,PROCESY!$O$6:$O$17,PROCESY!$P$6:$P$17),2),0)</f>
        <v>0</v>
      </c>
      <c r="E98" s="35" t="n">
        <f aca="false">IFERROR(ROUND($M9*SUMPRODUCT(E$19:E$30,PROCESY!$O$6:$O$17,PROCESY!$P$6:$P$17),2),0)</f>
        <v>0</v>
      </c>
      <c r="F98" s="35" t="n">
        <f aca="false">IFERROR(ROUND($M10*SUMPRODUCT(F$19:F$30,PROCESY!$O$6:$O$17,PROCESY!$P$6:$P$17),2),0)</f>
        <v>0</v>
      </c>
      <c r="G98" s="35" t="n">
        <f aca="false">IFERROR(ROUND($M11*SUMPRODUCT(G$19:G$30,PROCESY!$O$6:$O$17,PROCESY!$P$6:$P$17),2),0)</f>
        <v>0</v>
      </c>
      <c r="H98" s="35" t="n">
        <f aca="false">IFERROR(ROUND($M12*SUMPRODUCT(H$19:H$30,PROCESY!$O$6:$O$17,PROCESY!$P$6:$P$17),2),0)</f>
        <v>0</v>
      </c>
      <c r="I98" s="35" t="n">
        <f aca="false">IFERROR(ROUND($M13*SUMPRODUCT(I$19:I$30,PROCESY!$O$6:$O$17,PROCESY!$P$6:$P$17),2),0)</f>
        <v>0</v>
      </c>
      <c r="J98" s="35" t="n">
        <f aca="false">IFERROR(ROUND($M14*SUMPRODUCT(J$19:J$30,PROCESY!$O$6:$O$17,PROCESY!$P$6:$P$17),2),0)</f>
        <v>0</v>
      </c>
    </row>
    <row r="99" customFormat="false" ht="18" hidden="false" customHeight="true" outlineLevel="0" collapsed="false">
      <c r="A99" s="36" t="s">
        <v>345</v>
      </c>
      <c r="B99" s="27" t="s">
        <v>106</v>
      </c>
      <c r="C99" s="62" t="n">
        <f aca="false">IFERROR(ROUND($N7*SUMPRODUCT(C$19:C$30,PROCESY!$O$6:$O$17,PROCESY!$Q$6:$Q$17),2),0)</f>
        <v>0</v>
      </c>
      <c r="D99" s="62" t="n">
        <f aca="false">IFERROR(ROUND($N8*SUMPRODUCT(D$19:D$30,PROCESY!$O$6:$O$17,PROCESY!$Q$6:$Q$17),2),0)</f>
        <v>0</v>
      </c>
      <c r="E99" s="62" t="n">
        <f aca="false">IFERROR(ROUND($N9*SUMPRODUCT(E$19:E$30,PROCESY!$O$6:$O$17,PROCESY!$Q$6:$Q$17),2),0)</f>
        <v>0</v>
      </c>
      <c r="F99" s="62" t="n">
        <f aca="false">IFERROR(ROUND($N10*SUMPRODUCT(F$19:F$30,PROCESY!$O$6:$O$17,PROCESY!$Q$6:$Q$17),2),0)</f>
        <v>0</v>
      </c>
      <c r="G99" s="62" t="n">
        <f aca="false">IFERROR(ROUND($N11*SUMPRODUCT(G$19:G$30,PROCESY!$O$6:$O$17,PROCESY!$Q$6:$Q$17),2),0)</f>
        <v>0</v>
      </c>
      <c r="H99" s="62" t="n">
        <f aca="false">IFERROR(ROUND($N12*SUMPRODUCT(H$19:H$30,PROCESY!$O$6:$O$17,PROCESY!$Q$6:$Q$17),2),0)</f>
        <v>0</v>
      </c>
      <c r="I99" s="62" t="n">
        <f aca="false">IFERROR(ROUND($N13*SUMPRODUCT(I$19:I$30,PROCESY!$O$6:$O$17,PROCESY!$Q$6:$Q$17),2),0)</f>
        <v>0</v>
      </c>
      <c r="J99" s="62" t="n">
        <f aca="false">IFERROR(ROUND($N14*SUMPRODUCT(J$19:J$30,PROCESY!$O$6:$O$17,PROCESY!$Q$6:$Q$17),2),0)</f>
        <v>0</v>
      </c>
    </row>
    <row r="100" customFormat="false" ht="18" hidden="false" customHeight="true" outlineLevel="0" collapsed="false">
      <c r="A100" s="26" t="s">
        <v>346</v>
      </c>
      <c r="B100" s="27" t="s">
        <v>106</v>
      </c>
      <c r="C100" s="35" t="n">
        <f aca="false">IFERROR(ROUND($O7*SUMPRODUCT(C$19:C$30,PROCESY!$O$6:$O$17,PROCESY!$R$6:$R$17),2),0)</f>
        <v>0</v>
      </c>
      <c r="D100" s="35" t="n">
        <f aca="false">IFERROR(ROUND($O8*SUMPRODUCT(D$19:D$30,PROCESY!$O$6:$O$17,PROCESY!$R$6:$R$17),2),0)</f>
        <v>0</v>
      </c>
      <c r="E100" s="35" t="n">
        <f aca="false">IFERROR(ROUND($O9*SUMPRODUCT(E$19:E$30,PROCESY!$O$6:$O$17,PROCESY!$R$6:$R$17),2),0)</f>
        <v>0</v>
      </c>
      <c r="F100" s="35" t="n">
        <f aca="false">IFERROR(ROUND($O10*SUMPRODUCT(F$19:F$30,PROCESY!$O$6:$O$17,PROCESY!$R$6:$R$17),2),0)</f>
        <v>0</v>
      </c>
      <c r="G100" s="35" t="n">
        <f aca="false">IFERROR(ROUND($O11*SUMPRODUCT(G$19:G$30,PROCESY!$O$6:$O$17,PROCESY!$R$6:$R$17),2),0)</f>
        <v>0</v>
      </c>
      <c r="H100" s="35" t="n">
        <f aca="false">IFERROR(ROUND($O12*SUMPRODUCT(H$19:H$30,PROCESY!$O$6:$O$17,PROCESY!$R$6:$R$17),2),0)</f>
        <v>0</v>
      </c>
      <c r="I100" s="35" t="n">
        <f aca="false">IFERROR(ROUND($O13*SUMPRODUCT(I$19:I$30,PROCESY!$O$6:$O$17,PROCESY!$R$6:$R$17),2),0)</f>
        <v>0</v>
      </c>
      <c r="J100" s="35" t="n">
        <f aca="false">IFERROR(ROUND($O14*SUMPRODUCT(J$19:J$30,PROCESY!$O$6:$O$17,PROCESY!$R$6:$R$17),2),0)</f>
        <v>0</v>
      </c>
    </row>
    <row r="101" customFormat="false" ht="18" hidden="false" customHeight="true" outlineLevel="0" collapsed="false">
      <c r="A101" s="26" t="s">
        <v>347</v>
      </c>
      <c r="B101" s="27" t="s">
        <v>106</v>
      </c>
      <c r="C101" s="35" t="n">
        <f aca="false">IFERROR(ROUND($M7*SUMPRODUCT(C$19:C$30,PROCESY!$E$6:$E$17,PROCESY!$T$6:$T$17),2),0)</f>
        <v>0</v>
      </c>
      <c r="D101" s="35" t="n">
        <f aca="false">IFERROR(ROUND($M8*SUMPRODUCT(D$19:D$30,PROCESY!$E$6:$E$17,PROCESY!$T$6:$T$17),2),0)</f>
        <v>0</v>
      </c>
      <c r="E101" s="35" t="n">
        <f aca="false">IFERROR(ROUND($M9*SUMPRODUCT(E$19:E$30,PROCESY!$E$6:$E$17,PROCESY!$T$6:$T$17),2),0)</f>
        <v>0</v>
      </c>
      <c r="F101" s="35" t="n">
        <f aca="false">IFERROR(ROUND($M10*SUMPRODUCT(F$19:F$30,PROCESY!$E$6:$E$17,PROCESY!$T$6:$T$17),2),0)</f>
        <v>0</v>
      </c>
      <c r="G101" s="35" t="n">
        <f aca="false">IFERROR(ROUND($M11*SUMPRODUCT(G$19:G$30,PROCESY!$E$6:$E$17,PROCESY!$T$6:$T$17),2),0)</f>
        <v>0</v>
      </c>
      <c r="H101" s="35" t="n">
        <f aca="false">IFERROR(ROUND($M12*SUMPRODUCT(H$19:H$30,PROCESY!$E$6:$E$17,PROCESY!$T$6:$T$17),2),0)</f>
        <v>0</v>
      </c>
      <c r="I101" s="35" t="n">
        <f aca="false">IFERROR(ROUND($M13*SUMPRODUCT(I$19:I$30,PROCESY!$E$6:$E$17,PROCESY!$T$6:$T$17),2),0)</f>
        <v>0</v>
      </c>
      <c r="J101" s="35" t="n">
        <f aca="false">IFERROR(ROUND($M14*SUMPRODUCT(J$19:J$30,PROCESY!$E$6:$E$17,PROCESY!$T$6:$T$17),2),0)</f>
        <v>0</v>
      </c>
    </row>
    <row r="102" customFormat="false" ht="18" hidden="false" customHeight="true" outlineLevel="0" collapsed="false">
      <c r="A102" s="36" t="s">
        <v>348</v>
      </c>
      <c r="B102" s="27" t="s">
        <v>106</v>
      </c>
      <c r="C102" s="62" t="n">
        <f aca="false">IFERROR(ROUND($N7*SUMPRODUCT(C$19:C$30,PROCESY!$E$6:$E$17,PROCESY!$T$6:$T$17),2),0)</f>
        <v>0</v>
      </c>
      <c r="D102" s="62" t="n">
        <f aca="false">IFERROR(ROUND($N8*SUMPRODUCT(D$19:D$30,PROCESY!$E$6:$E$17,PROCESY!$T$6:$T$17),2),0)</f>
        <v>0</v>
      </c>
      <c r="E102" s="62" t="n">
        <f aca="false">IFERROR(ROUND($N9*SUMPRODUCT(E$19:E$30,PROCESY!$E$6:$E$17,PROCESY!$T$6:$T$17),2),0)</f>
        <v>0</v>
      </c>
      <c r="F102" s="62" t="n">
        <f aca="false">IFERROR(ROUND($N10*SUMPRODUCT(F$19:F$30,PROCESY!$E$6:$E$17,PROCESY!$T$6:$T$17),2),0)</f>
        <v>0</v>
      </c>
      <c r="G102" s="62" t="n">
        <f aca="false">IFERROR(ROUND($N11*SUMPRODUCT(G$19:G$30,PROCESY!$E$6:$E$17,PROCESY!$T$6:$T$17),2),0)</f>
        <v>0</v>
      </c>
      <c r="H102" s="62" t="n">
        <f aca="false">IFERROR(ROUND($N12*SUMPRODUCT(H$19:H$30,PROCESY!$E$6:$E$17,PROCESY!$T$6:$T$17),2),0)</f>
        <v>0</v>
      </c>
      <c r="I102" s="62" t="n">
        <f aca="false">IFERROR(ROUND($N13*SUMPRODUCT(I$19:I$30,PROCESY!$E$6:$E$17,PROCESY!$T$6:$T$17),2),0)</f>
        <v>0</v>
      </c>
      <c r="J102" s="62" t="n">
        <f aca="false">IFERROR(ROUND($N14*SUMPRODUCT(J$19:J$30,PROCESY!$E$6:$E$17,PROCESY!$T$6:$T$17),2),0)</f>
        <v>0</v>
      </c>
    </row>
    <row r="103" customFormat="false" ht="18" hidden="false" customHeight="true" outlineLevel="0" collapsed="false">
      <c r="A103" s="26" t="s">
        <v>349</v>
      </c>
      <c r="B103" s="27" t="s">
        <v>106</v>
      </c>
      <c r="C103" s="35" t="n">
        <f aca="false">IFERROR(ROUND($O7*SUMPRODUCT(C$19:C$30,PROCESY!$E$6:$E$17,PROCESY!$T$6:$T$17),2),0)</f>
        <v>0</v>
      </c>
      <c r="D103" s="35" t="n">
        <f aca="false">IFERROR(ROUND($O8*SUMPRODUCT(D$19:D$30,PROCESY!$E$6:$E$17,PROCESY!$T$6:$T$17),2),0)</f>
        <v>0</v>
      </c>
      <c r="E103" s="35" t="n">
        <f aca="false">IFERROR(ROUND($O9*SUMPRODUCT(E$19:E$30,PROCESY!$E$6:$E$17,PROCESY!$T$6:$T$17),2),0)</f>
        <v>0</v>
      </c>
      <c r="F103" s="35" t="n">
        <f aca="false">IFERROR(ROUND($O10*SUMPRODUCT(F$19:F$30,PROCESY!$E$6:$E$17,PROCESY!$T$6:$T$17),2),0)</f>
        <v>0</v>
      </c>
      <c r="G103" s="35" t="n">
        <f aca="false">IFERROR(ROUND($O11*SUMPRODUCT(G$19:G$30,PROCESY!$E$6:$E$17,PROCESY!$T$6:$T$17),2),0)</f>
        <v>0</v>
      </c>
      <c r="H103" s="35" t="n">
        <f aca="false">IFERROR(ROUND($O12*SUMPRODUCT(H$19:H$30,PROCESY!$E$6:$E$17,PROCESY!$T$6:$T$17),2),0)</f>
        <v>0</v>
      </c>
      <c r="I103" s="35" t="n">
        <f aca="false">IFERROR(ROUND($O13*SUMPRODUCT(I$19:I$30,PROCESY!$E$6:$E$17,PROCESY!$T$6:$T$17),2),0)</f>
        <v>0</v>
      </c>
      <c r="J103" s="35" t="n">
        <f aca="false">IFERROR(ROUND($O14*SUMPRODUCT(J$19:J$30,PROCESY!$E$6:$E$17,PROCESY!$T$6:$T$17),2),0)</f>
        <v>0</v>
      </c>
    </row>
    <row r="104" customFormat="false" ht="18" hidden="false" customHeight="true" outlineLevel="0" collapsed="false">
      <c r="A104" s="26" t="s">
        <v>350</v>
      </c>
      <c r="B104" s="27" t="s">
        <v>106</v>
      </c>
      <c r="C104" s="35" t="n">
        <f aca="false">SUMIFS('KOSZTY SZCZEGÓŁOWE'!$V$7:$V$126,'KOSZTY SZCZEGÓŁOWE'!$B$7:$B$126,$A7,'KOSZTY SZCZEGÓŁOWE'!$F$7:$F$126,"GOTÓWKA")</f>
        <v>0</v>
      </c>
      <c r="D104" s="35" t="n">
        <f aca="false">SUMIFS('KOSZTY SZCZEGÓŁOWE'!$V$7:$V$126,'KOSZTY SZCZEGÓŁOWE'!$B$7:$B$126,$A8,'KOSZTY SZCZEGÓŁOWE'!$F$7:$F$126,"GOTÓWKA")</f>
        <v>0</v>
      </c>
      <c r="E104" s="35" t="n">
        <f aca="false">SUMIFS('KOSZTY SZCZEGÓŁOWE'!$V$7:$V$126,'KOSZTY SZCZEGÓŁOWE'!$B$7:$B$126,$A9,'KOSZTY SZCZEGÓŁOWE'!$F$7:$F$126,"GOTÓWKA")</f>
        <v>0</v>
      </c>
      <c r="F104" s="35" t="n">
        <f aca="false">SUMIFS('KOSZTY SZCZEGÓŁOWE'!$V$7:$V$126,'KOSZTY SZCZEGÓŁOWE'!$B$7:$B$126,$A10,'KOSZTY SZCZEGÓŁOWE'!$F$7:$F$126,"GOTÓWKA")</f>
        <v>0</v>
      </c>
      <c r="G104" s="35" t="n">
        <f aca="false">SUMIFS('KOSZTY SZCZEGÓŁOWE'!$V$7:$V$126,'KOSZTY SZCZEGÓŁOWE'!$B$7:$B$126,$A11,'KOSZTY SZCZEGÓŁOWE'!$F$7:$F$126,"GOTÓWKA")</f>
        <v>0</v>
      </c>
      <c r="H104" s="35" t="n">
        <f aca="false">SUMIFS('KOSZTY SZCZEGÓŁOWE'!$V$7:$V$126,'KOSZTY SZCZEGÓŁOWE'!$B$7:$B$126,$A12,'KOSZTY SZCZEGÓŁOWE'!$F$7:$F$126,"GOTÓWKA")</f>
        <v>0</v>
      </c>
      <c r="I104" s="35" t="n">
        <f aca="false">SUMIFS('KOSZTY SZCZEGÓŁOWE'!$V$7:$V$126,'KOSZTY SZCZEGÓŁOWE'!$B$7:$B$126,$A13,'KOSZTY SZCZEGÓŁOWE'!$F$7:$F$126,"GOTÓWKA")</f>
        <v>0</v>
      </c>
      <c r="J104" s="35" t="n">
        <f aca="false">SUMIFS('KOSZTY SZCZEGÓŁOWE'!$V$7:$V$126,'KOSZTY SZCZEGÓŁOWE'!$B$7:$B$126,$A14,'KOSZTY SZCZEGÓŁOWE'!$F$7:$F$126,"GOTÓWKA")</f>
        <v>0</v>
      </c>
    </row>
    <row r="105" customFormat="false" ht="18" hidden="false" customHeight="true" outlineLevel="0" collapsed="false">
      <c r="A105" s="26" t="s">
        <v>351</v>
      </c>
      <c r="B105" s="27" t="s">
        <v>106</v>
      </c>
      <c r="C105" s="35" t="n">
        <f aca="false">SUMIFS('KOSZTY SZCZEGÓŁOWE'!$W$7:$W$126,'KOSZTY SZCZEGÓŁOWE'!$B$7:$B$126,$A7,'KOSZTY SZCZEGÓŁOWE'!$F$7:$F$126,"GOTÓWKA")</f>
        <v>0</v>
      </c>
      <c r="D105" s="35" t="n">
        <f aca="false">SUMIFS('KOSZTY SZCZEGÓŁOWE'!$W$7:$W$126,'KOSZTY SZCZEGÓŁOWE'!$B$7:$B$126,$A8,'KOSZTY SZCZEGÓŁOWE'!$F$7:$F$126,"GOTÓWKA")</f>
        <v>0</v>
      </c>
      <c r="E105" s="35" t="n">
        <f aca="false">SUMIFS('KOSZTY SZCZEGÓŁOWE'!$W$7:$W$126,'KOSZTY SZCZEGÓŁOWE'!$B$7:$B$126,$A9,'KOSZTY SZCZEGÓŁOWE'!$F$7:$F$126,"GOTÓWKA")</f>
        <v>0</v>
      </c>
      <c r="F105" s="35" t="n">
        <f aca="false">SUMIFS('KOSZTY SZCZEGÓŁOWE'!$W$7:$W$126,'KOSZTY SZCZEGÓŁOWE'!$B$7:$B$126,$A10,'KOSZTY SZCZEGÓŁOWE'!$F$7:$F$126,"GOTÓWKA")</f>
        <v>0</v>
      </c>
      <c r="G105" s="35" t="n">
        <f aca="false">SUMIFS('KOSZTY SZCZEGÓŁOWE'!$W$7:$W$126,'KOSZTY SZCZEGÓŁOWE'!$B$7:$B$126,$A11,'KOSZTY SZCZEGÓŁOWE'!$F$7:$F$126,"GOTÓWKA")</f>
        <v>0</v>
      </c>
      <c r="H105" s="35" t="n">
        <f aca="false">SUMIFS('KOSZTY SZCZEGÓŁOWE'!$W$7:$W$126,'KOSZTY SZCZEGÓŁOWE'!$B$7:$B$126,$A12,'KOSZTY SZCZEGÓŁOWE'!$F$7:$F$126,"GOTÓWKA")</f>
        <v>0</v>
      </c>
      <c r="I105" s="35" t="n">
        <f aca="false">SUMIFS('KOSZTY SZCZEGÓŁOWE'!$W$7:$W$126,'KOSZTY SZCZEGÓŁOWE'!$B$7:$B$126,$A13,'KOSZTY SZCZEGÓŁOWE'!$F$7:$F$126,"GOTÓWKA")</f>
        <v>0</v>
      </c>
      <c r="J105" s="35" t="n">
        <f aca="false">SUMIFS('KOSZTY SZCZEGÓŁOWE'!$W$7:$W$126,'KOSZTY SZCZEGÓŁOWE'!$B$7:$B$126,$A14,'KOSZTY SZCZEGÓŁOWE'!$F$7:$F$126,"GOTÓWKA")</f>
        <v>0</v>
      </c>
    </row>
    <row r="106" customFormat="false" ht="18" hidden="false" customHeight="true" outlineLevel="0" collapsed="false">
      <c r="A106" s="26" t="s">
        <v>352</v>
      </c>
      <c r="B106" s="27" t="s">
        <v>106</v>
      </c>
      <c r="C106" s="35" t="n">
        <f aca="false">SUMIFS('KOSZTY SZCZEGÓŁOWE'!$X$7:$X$126,'KOSZTY SZCZEGÓŁOWE'!$B$7:$B$126,$A7,'KOSZTY SZCZEGÓŁOWE'!$F$7:$F$126,"GOTÓWKA")</f>
        <v>0</v>
      </c>
      <c r="D106" s="35" t="n">
        <f aca="false">SUMIFS('KOSZTY SZCZEGÓŁOWE'!$X$7:$X$126,'KOSZTY SZCZEGÓŁOWE'!$B$7:$B$126,$A8,'KOSZTY SZCZEGÓŁOWE'!$F$7:$F$126,"GOTÓWKA")</f>
        <v>0</v>
      </c>
      <c r="E106" s="35" t="n">
        <f aca="false">SUMIFS('KOSZTY SZCZEGÓŁOWE'!$X$7:$X$126,'KOSZTY SZCZEGÓŁOWE'!$B$7:$B$126,$A9,'KOSZTY SZCZEGÓŁOWE'!$F$7:$F$126,"GOTÓWKA")</f>
        <v>0</v>
      </c>
      <c r="F106" s="35" t="n">
        <f aca="false">SUMIFS('KOSZTY SZCZEGÓŁOWE'!$X$7:$X$126,'KOSZTY SZCZEGÓŁOWE'!$B$7:$B$126,$A10,'KOSZTY SZCZEGÓŁOWE'!$F$7:$F$126,"GOTÓWKA")</f>
        <v>0</v>
      </c>
      <c r="G106" s="35" t="n">
        <f aca="false">SUMIFS('KOSZTY SZCZEGÓŁOWE'!$X$7:$X$126,'KOSZTY SZCZEGÓŁOWE'!$B$7:$B$126,$A11,'KOSZTY SZCZEGÓŁOWE'!$F$7:$F$126,"GOTÓWKA")</f>
        <v>0</v>
      </c>
      <c r="H106" s="35" t="n">
        <f aca="false">SUMIFS('KOSZTY SZCZEGÓŁOWE'!$X$7:$X$126,'KOSZTY SZCZEGÓŁOWE'!$B$7:$B$126,$A12,'KOSZTY SZCZEGÓŁOWE'!$F$7:$F$126,"GOTÓWKA")</f>
        <v>0</v>
      </c>
      <c r="I106" s="35" t="n">
        <f aca="false">SUMIFS('KOSZTY SZCZEGÓŁOWE'!$X$7:$X$126,'KOSZTY SZCZEGÓŁOWE'!$B$7:$B$126,$A13,'KOSZTY SZCZEGÓŁOWE'!$F$7:$F$126,"GOTÓWKA")</f>
        <v>0</v>
      </c>
      <c r="J106" s="35" t="n">
        <f aca="false">SUMIFS('KOSZTY SZCZEGÓŁOWE'!$X$7:$X$126,'KOSZTY SZCZEGÓŁOWE'!$B$7:$B$126,$A14,'KOSZTY SZCZEGÓŁOWE'!$F$7:$F$126,"GOTÓWKA")</f>
        <v>0</v>
      </c>
    </row>
    <row r="107" customFormat="false" ht="18" hidden="false" customHeight="true" outlineLevel="0" collapsed="false">
      <c r="A107" s="26" t="s">
        <v>353</v>
      </c>
      <c r="B107" s="27" t="s">
        <v>106</v>
      </c>
      <c r="C107" s="35" t="n">
        <f aca="false">SUMIFS('KOSZTY SZCZEGÓŁOWE'!$V$7:$V$126,'KOSZTY SZCZEGÓŁOWE'!$B$7:$B$126,$A7,'KOSZTY SZCZEGÓŁOWE'!$F$7:$F$126,"P&amp;L")</f>
        <v>0</v>
      </c>
      <c r="D107" s="35" t="n">
        <f aca="false">SUMIFS('KOSZTY SZCZEGÓŁOWE'!$V$7:$V$126,'KOSZTY SZCZEGÓŁOWE'!$B$7:$B$126,$A8,'KOSZTY SZCZEGÓŁOWE'!$F$7:$F$126,"P&amp;L")</f>
        <v>0</v>
      </c>
      <c r="E107" s="35" t="n">
        <f aca="false">SUMIFS('KOSZTY SZCZEGÓŁOWE'!$V$7:$V$126,'KOSZTY SZCZEGÓŁOWE'!$B$7:$B$126,$A9,'KOSZTY SZCZEGÓŁOWE'!$F$7:$F$126,"P&amp;L")</f>
        <v>0</v>
      </c>
      <c r="F107" s="35" t="n">
        <f aca="false">SUMIFS('KOSZTY SZCZEGÓŁOWE'!$V$7:$V$126,'KOSZTY SZCZEGÓŁOWE'!$B$7:$B$126,$A10,'KOSZTY SZCZEGÓŁOWE'!$F$7:$F$126,"P&amp;L")</f>
        <v>0</v>
      </c>
      <c r="G107" s="35" t="n">
        <f aca="false">SUMIFS('KOSZTY SZCZEGÓŁOWE'!$V$7:$V$126,'KOSZTY SZCZEGÓŁOWE'!$B$7:$B$126,$A11,'KOSZTY SZCZEGÓŁOWE'!$F$7:$F$126,"P&amp;L")</f>
        <v>0</v>
      </c>
      <c r="H107" s="35" t="n">
        <f aca="false">SUMIFS('KOSZTY SZCZEGÓŁOWE'!$V$7:$V$126,'KOSZTY SZCZEGÓŁOWE'!$B$7:$B$126,$A12,'KOSZTY SZCZEGÓŁOWE'!$F$7:$F$126,"P&amp;L")</f>
        <v>0</v>
      </c>
      <c r="I107" s="35" t="n">
        <f aca="false">SUMIFS('KOSZTY SZCZEGÓŁOWE'!$V$7:$V$126,'KOSZTY SZCZEGÓŁOWE'!$B$7:$B$126,$A13,'KOSZTY SZCZEGÓŁOWE'!$F$7:$F$126,"P&amp;L")</f>
        <v>0</v>
      </c>
      <c r="J107" s="35" t="n">
        <f aca="false">SUMIFS('KOSZTY SZCZEGÓŁOWE'!$V$7:$V$126,'KOSZTY SZCZEGÓŁOWE'!$B$7:$B$126,$A14,'KOSZTY SZCZEGÓŁOWE'!$F$7:$F$126,"P&amp;L")</f>
        <v>0</v>
      </c>
    </row>
    <row r="108" customFormat="false" ht="18" hidden="false" customHeight="true" outlineLevel="0" collapsed="false">
      <c r="A108" s="26" t="s">
        <v>354</v>
      </c>
      <c r="B108" s="27" t="s">
        <v>106</v>
      </c>
      <c r="C108" s="35" t="n">
        <f aca="false">SUMIFS('KOSZTY SZCZEGÓŁOWE'!$W$7:$W$126,'KOSZTY SZCZEGÓŁOWE'!$B$7:$B$126,$A7,'KOSZTY SZCZEGÓŁOWE'!$F$7:$F$126,"P&amp;L")</f>
        <v>0</v>
      </c>
      <c r="D108" s="35" t="n">
        <f aca="false">SUMIFS('KOSZTY SZCZEGÓŁOWE'!$W$7:$W$126,'KOSZTY SZCZEGÓŁOWE'!$B$7:$B$126,$A8,'KOSZTY SZCZEGÓŁOWE'!$F$7:$F$126,"P&amp;L")</f>
        <v>0</v>
      </c>
      <c r="E108" s="35" t="n">
        <f aca="false">SUMIFS('KOSZTY SZCZEGÓŁOWE'!$W$7:$W$126,'KOSZTY SZCZEGÓŁOWE'!$B$7:$B$126,$A9,'KOSZTY SZCZEGÓŁOWE'!$F$7:$F$126,"P&amp;L")</f>
        <v>0</v>
      </c>
      <c r="F108" s="35" t="n">
        <f aca="false">SUMIFS('KOSZTY SZCZEGÓŁOWE'!$W$7:$W$126,'KOSZTY SZCZEGÓŁOWE'!$B$7:$B$126,$A10,'KOSZTY SZCZEGÓŁOWE'!$F$7:$F$126,"P&amp;L")</f>
        <v>0</v>
      </c>
      <c r="G108" s="35" t="n">
        <f aca="false">SUMIFS('KOSZTY SZCZEGÓŁOWE'!$W$7:$W$126,'KOSZTY SZCZEGÓŁOWE'!$B$7:$B$126,$A11,'KOSZTY SZCZEGÓŁOWE'!$F$7:$F$126,"P&amp;L")</f>
        <v>0</v>
      </c>
      <c r="H108" s="35" t="n">
        <f aca="false">SUMIFS('KOSZTY SZCZEGÓŁOWE'!$W$7:$W$126,'KOSZTY SZCZEGÓŁOWE'!$B$7:$B$126,$A12,'KOSZTY SZCZEGÓŁOWE'!$F$7:$F$126,"P&amp;L")</f>
        <v>0</v>
      </c>
      <c r="I108" s="35" t="n">
        <f aca="false">SUMIFS('KOSZTY SZCZEGÓŁOWE'!$W$7:$W$126,'KOSZTY SZCZEGÓŁOWE'!$B$7:$B$126,$A13,'KOSZTY SZCZEGÓŁOWE'!$F$7:$F$126,"P&amp;L")</f>
        <v>0</v>
      </c>
      <c r="J108" s="35" t="n">
        <f aca="false">SUMIFS('KOSZTY SZCZEGÓŁOWE'!$W$7:$W$126,'KOSZTY SZCZEGÓŁOWE'!$B$7:$B$126,$A14,'KOSZTY SZCZEGÓŁOWE'!$F$7:$F$126,"P&amp;L")</f>
        <v>0</v>
      </c>
    </row>
    <row r="109" customFormat="false" ht="18" hidden="false" customHeight="true" outlineLevel="0" collapsed="false">
      <c r="A109" s="26" t="s">
        <v>355</v>
      </c>
      <c r="B109" s="27" t="s">
        <v>106</v>
      </c>
      <c r="C109" s="35" t="n">
        <f aca="false">SUMIFS('KOSZTY SZCZEGÓŁOWE'!$X$7:$X$126,'KOSZTY SZCZEGÓŁOWE'!$B$7:$B$126,$A7,'KOSZTY SZCZEGÓŁOWE'!$F$7:$F$126,"P&amp;L")</f>
        <v>0</v>
      </c>
      <c r="D109" s="35" t="n">
        <f aca="false">SUMIFS('KOSZTY SZCZEGÓŁOWE'!$X$7:$X$126,'KOSZTY SZCZEGÓŁOWE'!$B$7:$B$126,$A8,'KOSZTY SZCZEGÓŁOWE'!$F$7:$F$126,"P&amp;L")</f>
        <v>0</v>
      </c>
      <c r="E109" s="35" t="n">
        <f aca="false">SUMIFS('KOSZTY SZCZEGÓŁOWE'!$X$7:$X$126,'KOSZTY SZCZEGÓŁOWE'!$B$7:$B$126,$A9,'KOSZTY SZCZEGÓŁOWE'!$F$7:$F$126,"P&amp;L")</f>
        <v>0</v>
      </c>
      <c r="F109" s="35" t="n">
        <f aca="false">SUMIFS('KOSZTY SZCZEGÓŁOWE'!$X$7:$X$126,'KOSZTY SZCZEGÓŁOWE'!$B$7:$B$126,$A10,'KOSZTY SZCZEGÓŁOWE'!$F$7:$F$126,"P&amp;L")</f>
        <v>0</v>
      </c>
      <c r="G109" s="35" t="n">
        <f aca="false">SUMIFS('KOSZTY SZCZEGÓŁOWE'!$X$7:$X$126,'KOSZTY SZCZEGÓŁOWE'!$B$7:$B$126,$A11,'KOSZTY SZCZEGÓŁOWE'!$F$7:$F$126,"P&amp;L")</f>
        <v>0</v>
      </c>
      <c r="H109" s="35" t="n">
        <f aca="false">SUMIFS('KOSZTY SZCZEGÓŁOWE'!$X$7:$X$126,'KOSZTY SZCZEGÓŁOWE'!$B$7:$B$126,$A12,'KOSZTY SZCZEGÓŁOWE'!$F$7:$F$126,"P&amp;L")</f>
        <v>0</v>
      </c>
      <c r="I109" s="35" t="n">
        <f aca="false">SUMIFS('KOSZTY SZCZEGÓŁOWE'!$X$7:$X$126,'KOSZTY SZCZEGÓŁOWE'!$B$7:$B$126,$A13,'KOSZTY SZCZEGÓŁOWE'!$F$7:$F$126,"P&amp;L")</f>
        <v>0</v>
      </c>
      <c r="J109" s="35" t="n">
        <f aca="false">SUMIFS('KOSZTY SZCZEGÓŁOWE'!$X$7:$X$126,'KOSZTY SZCZEGÓŁOWE'!$B$7:$B$126,$A14,'KOSZTY SZCZEGÓŁOWE'!$F$7:$F$126,"P&amp;L")</f>
        <v>0</v>
      </c>
    </row>
    <row r="110" customFormat="false" ht="18" hidden="false" customHeight="true" outlineLevel="0" collapsed="false">
      <c r="A110" s="26" t="s">
        <v>356</v>
      </c>
      <c r="B110" s="27" t="s">
        <v>106</v>
      </c>
      <c r="C110" s="35" t="n">
        <f aca="false">SUMIFS('KOSZTY SZCZEGÓŁOWE'!$V$7:$V$126,'KOSZTY SZCZEGÓŁOWE'!$B$7:$B$126,$A7,'KOSZTY SZCZEGÓŁOWE'!$F$7:$F$126,"ZDOLNOŚĆ")</f>
        <v>0</v>
      </c>
      <c r="D110" s="35" t="n">
        <f aca="false">SUMIFS('KOSZTY SZCZEGÓŁOWE'!$V$7:$V$126,'KOSZTY SZCZEGÓŁOWE'!$B$7:$B$126,$A8,'KOSZTY SZCZEGÓŁOWE'!$F$7:$F$126,"ZDOLNOŚĆ")</f>
        <v>0</v>
      </c>
      <c r="E110" s="35" t="n">
        <f aca="false">SUMIFS('KOSZTY SZCZEGÓŁOWE'!$V$7:$V$126,'KOSZTY SZCZEGÓŁOWE'!$B$7:$B$126,$A9,'KOSZTY SZCZEGÓŁOWE'!$F$7:$F$126,"ZDOLNOŚĆ")</f>
        <v>0</v>
      </c>
      <c r="F110" s="35" t="n">
        <f aca="false">SUMIFS('KOSZTY SZCZEGÓŁOWE'!$V$7:$V$126,'KOSZTY SZCZEGÓŁOWE'!$B$7:$B$126,$A10,'KOSZTY SZCZEGÓŁOWE'!$F$7:$F$126,"ZDOLNOŚĆ")</f>
        <v>0</v>
      </c>
      <c r="G110" s="35" t="n">
        <f aca="false">SUMIFS('KOSZTY SZCZEGÓŁOWE'!$V$7:$V$126,'KOSZTY SZCZEGÓŁOWE'!$B$7:$B$126,$A11,'KOSZTY SZCZEGÓŁOWE'!$F$7:$F$126,"ZDOLNOŚĆ")</f>
        <v>0</v>
      </c>
      <c r="H110" s="35" t="n">
        <f aca="false">SUMIFS('KOSZTY SZCZEGÓŁOWE'!$V$7:$V$126,'KOSZTY SZCZEGÓŁOWE'!$B$7:$B$126,$A12,'KOSZTY SZCZEGÓŁOWE'!$F$7:$F$126,"ZDOLNOŚĆ")</f>
        <v>0</v>
      </c>
      <c r="I110" s="35" t="n">
        <f aca="false">SUMIFS('KOSZTY SZCZEGÓŁOWE'!$V$7:$V$126,'KOSZTY SZCZEGÓŁOWE'!$B$7:$B$126,$A13,'KOSZTY SZCZEGÓŁOWE'!$F$7:$F$126,"ZDOLNOŚĆ")</f>
        <v>0</v>
      </c>
      <c r="J110" s="35" t="n">
        <f aca="false">SUMIFS('KOSZTY SZCZEGÓŁOWE'!$V$7:$V$126,'KOSZTY SZCZEGÓŁOWE'!$B$7:$B$126,$A14,'KOSZTY SZCZEGÓŁOWE'!$F$7:$F$126,"ZDOLNOŚĆ")</f>
        <v>0</v>
      </c>
    </row>
    <row r="111" customFormat="false" ht="18" hidden="false" customHeight="true" outlineLevel="0" collapsed="false">
      <c r="A111" s="26" t="s">
        <v>357</v>
      </c>
      <c r="B111" s="27" t="s">
        <v>106</v>
      </c>
      <c r="C111" s="35" t="n">
        <f aca="false">SUMIFS('KOSZTY SZCZEGÓŁOWE'!$W$7:$W$126,'KOSZTY SZCZEGÓŁOWE'!$B$7:$B$126,$A7,'KOSZTY SZCZEGÓŁOWE'!$F$7:$F$126,"ZDOLNOŚĆ")</f>
        <v>0</v>
      </c>
      <c r="D111" s="35" t="n">
        <f aca="false">SUMIFS('KOSZTY SZCZEGÓŁOWE'!$W$7:$W$126,'KOSZTY SZCZEGÓŁOWE'!$B$7:$B$126,$A8,'KOSZTY SZCZEGÓŁOWE'!$F$7:$F$126,"ZDOLNOŚĆ")</f>
        <v>0</v>
      </c>
      <c r="E111" s="35" t="n">
        <f aca="false">SUMIFS('KOSZTY SZCZEGÓŁOWE'!$W$7:$W$126,'KOSZTY SZCZEGÓŁOWE'!$B$7:$B$126,$A9,'KOSZTY SZCZEGÓŁOWE'!$F$7:$F$126,"ZDOLNOŚĆ")</f>
        <v>0</v>
      </c>
      <c r="F111" s="35" t="n">
        <f aca="false">SUMIFS('KOSZTY SZCZEGÓŁOWE'!$W$7:$W$126,'KOSZTY SZCZEGÓŁOWE'!$B$7:$B$126,$A10,'KOSZTY SZCZEGÓŁOWE'!$F$7:$F$126,"ZDOLNOŚĆ")</f>
        <v>0</v>
      </c>
      <c r="G111" s="35" t="n">
        <f aca="false">SUMIFS('KOSZTY SZCZEGÓŁOWE'!$W$7:$W$126,'KOSZTY SZCZEGÓŁOWE'!$B$7:$B$126,$A11,'KOSZTY SZCZEGÓŁOWE'!$F$7:$F$126,"ZDOLNOŚĆ")</f>
        <v>0</v>
      </c>
      <c r="H111" s="35" t="n">
        <f aca="false">SUMIFS('KOSZTY SZCZEGÓŁOWE'!$W$7:$W$126,'KOSZTY SZCZEGÓŁOWE'!$B$7:$B$126,$A12,'KOSZTY SZCZEGÓŁOWE'!$F$7:$F$126,"ZDOLNOŚĆ")</f>
        <v>0</v>
      </c>
      <c r="I111" s="35" t="n">
        <f aca="false">SUMIFS('KOSZTY SZCZEGÓŁOWE'!$W$7:$W$126,'KOSZTY SZCZEGÓŁOWE'!$B$7:$B$126,$A13,'KOSZTY SZCZEGÓŁOWE'!$F$7:$F$126,"ZDOLNOŚĆ")</f>
        <v>0</v>
      </c>
      <c r="J111" s="35" t="n">
        <f aca="false">SUMIFS('KOSZTY SZCZEGÓŁOWE'!$W$7:$W$126,'KOSZTY SZCZEGÓŁOWE'!$B$7:$B$126,$A14,'KOSZTY SZCZEGÓŁOWE'!$F$7:$F$126,"ZDOLNOŚĆ")</f>
        <v>0</v>
      </c>
    </row>
    <row r="112" customFormat="false" ht="18" hidden="false" customHeight="true" outlineLevel="0" collapsed="false">
      <c r="A112" s="26" t="s">
        <v>358</v>
      </c>
      <c r="B112" s="27" t="s">
        <v>106</v>
      </c>
      <c r="C112" s="35" t="n">
        <f aca="false">SUMIFS('KOSZTY SZCZEGÓŁOWE'!$X$7:$X$126,'KOSZTY SZCZEGÓŁOWE'!$B$7:$B$126,$A7,'KOSZTY SZCZEGÓŁOWE'!$F$7:$F$126,"ZDOLNOŚĆ")</f>
        <v>0</v>
      </c>
      <c r="D112" s="35" t="n">
        <f aca="false">SUMIFS('KOSZTY SZCZEGÓŁOWE'!$X$7:$X$126,'KOSZTY SZCZEGÓŁOWE'!$B$7:$B$126,$A8,'KOSZTY SZCZEGÓŁOWE'!$F$7:$F$126,"ZDOLNOŚĆ")</f>
        <v>0</v>
      </c>
      <c r="E112" s="35" t="n">
        <f aca="false">SUMIFS('KOSZTY SZCZEGÓŁOWE'!$X$7:$X$126,'KOSZTY SZCZEGÓŁOWE'!$B$7:$B$126,$A9,'KOSZTY SZCZEGÓŁOWE'!$F$7:$F$126,"ZDOLNOŚĆ")</f>
        <v>0</v>
      </c>
      <c r="F112" s="35" t="n">
        <f aca="false">SUMIFS('KOSZTY SZCZEGÓŁOWE'!$X$7:$X$126,'KOSZTY SZCZEGÓŁOWE'!$B$7:$B$126,$A10,'KOSZTY SZCZEGÓŁOWE'!$F$7:$F$126,"ZDOLNOŚĆ")</f>
        <v>0</v>
      </c>
      <c r="G112" s="35" t="n">
        <f aca="false">SUMIFS('KOSZTY SZCZEGÓŁOWE'!$X$7:$X$126,'KOSZTY SZCZEGÓŁOWE'!$B$7:$B$126,$A11,'KOSZTY SZCZEGÓŁOWE'!$F$7:$F$126,"ZDOLNOŚĆ")</f>
        <v>0</v>
      </c>
      <c r="H112" s="35" t="n">
        <f aca="false">SUMIFS('KOSZTY SZCZEGÓŁOWE'!$X$7:$X$126,'KOSZTY SZCZEGÓŁOWE'!$B$7:$B$126,$A12,'KOSZTY SZCZEGÓŁOWE'!$F$7:$F$126,"ZDOLNOŚĆ")</f>
        <v>0</v>
      </c>
      <c r="I112" s="35" t="n">
        <f aca="false">SUMIFS('KOSZTY SZCZEGÓŁOWE'!$X$7:$X$126,'KOSZTY SZCZEGÓŁOWE'!$B$7:$B$126,$A13,'KOSZTY SZCZEGÓŁOWE'!$F$7:$F$126,"ZDOLNOŚĆ")</f>
        <v>0</v>
      </c>
      <c r="J112" s="35" t="n">
        <f aca="false">SUMIFS('KOSZTY SZCZEGÓŁOWE'!$X$7:$X$126,'KOSZTY SZCZEGÓŁOWE'!$B$7:$B$126,$A14,'KOSZTY SZCZEGÓŁOWE'!$F$7:$F$126,"ZDOLNOŚĆ")</f>
        <v>0</v>
      </c>
    </row>
    <row r="113" customFormat="false" ht="18" hidden="false" customHeight="true" outlineLevel="0" collapsed="false">
      <c r="A113" s="26" t="s">
        <v>359</v>
      </c>
      <c r="B113" s="27" t="s">
        <v>106</v>
      </c>
      <c r="C113" s="35" t="n">
        <f aca="false">SUMIFS('DANE I ODTWARZANIE'!$R$8:$R$15,'DANE I ODTWARZANIE'!$A$8:$A$15,$A7)</f>
        <v>0</v>
      </c>
      <c r="D113" s="35" t="n">
        <f aca="false">SUMIFS('DANE I ODTWARZANIE'!$R$8:$R$15,'DANE I ODTWARZANIE'!$A$8:$A$15,$A8)</f>
        <v>0</v>
      </c>
      <c r="E113" s="35" t="n">
        <f aca="false">SUMIFS('DANE I ODTWARZANIE'!$R$8:$R$15,'DANE I ODTWARZANIE'!$A$8:$A$15,$A9)</f>
        <v>0</v>
      </c>
      <c r="F113" s="35" t="n">
        <f aca="false">SUMIFS('DANE I ODTWARZANIE'!$R$8:$R$15,'DANE I ODTWARZANIE'!$A$8:$A$15,$A10)</f>
        <v>0</v>
      </c>
      <c r="G113" s="35" t="n">
        <f aca="false">SUMIFS('DANE I ODTWARZANIE'!$R$8:$R$15,'DANE I ODTWARZANIE'!$A$8:$A$15,$A11)</f>
        <v>0</v>
      </c>
      <c r="H113" s="35" t="n">
        <f aca="false">SUMIFS('DANE I ODTWARZANIE'!$R$8:$R$15,'DANE I ODTWARZANIE'!$A$8:$A$15,$A12)</f>
        <v>0</v>
      </c>
      <c r="I113" s="35" t="n">
        <f aca="false">SUMIFS('DANE I ODTWARZANIE'!$R$8:$R$15,'DANE I ODTWARZANIE'!$A$8:$A$15,$A13)</f>
        <v>0</v>
      </c>
      <c r="J113" s="35" t="n">
        <f aca="false">SUMIFS('DANE I ODTWARZANIE'!$R$8:$R$15,'DANE I ODTWARZANIE'!$A$8:$A$15,$A14)</f>
        <v>0</v>
      </c>
    </row>
    <row r="114" customFormat="false" ht="18" hidden="false" customHeight="true" outlineLevel="0" collapsed="false">
      <c r="A114" s="26" t="s">
        <v>360</v>
      </c>
      <c r="B114" s="27" t="s">
        <v>106</v>
      </c>
      <c r="C114" s="35" t="n">
        <f aca="false">SUMIFS('DANE I ODTWARZANIE'!$S$8:$S$15,'DANE I ODTWARZANIE'!$A$8:$A$15,$A7)</f>
        <v>0</v>
      </c>
      <c r="D114" s="35" t="n">
        <f aca="false">SUMIFS('DANE I ODTWARZANIE'!$S$8:$S$15,'DANE I ODTWARZANIE'!$A$8:$A$15,$A8)</f>
        <v>0</v>
      </c>
      <c r="E114" s="35" t="n">
        <f aca="false">SUMIFS('DANE I ODTWARZANIE'!$S$8:$S$15,'DANE I ODTWARZANIE'!$A$8:$A$15,$A9)</f>
        <v>0</v>
      </c>
      <c r="F114" s="35" t="n">
        <f aca="false">SUMIFS('DANE I ODTWARZANIE'!$S$8:$S$15,'DANE I ODTWARZANIE'!$A$8:$A$15,$A10)</f>
        <v>0</v>
      </c>
      <c r="G114" s="35" t="n">
        <f aca="false">SUMIFS('DANE I ODTWARZANIE'!$S$8:$S$15,'DANE I ODTWARZANIE'!$A$8:$A$15,$A11)</f>
        <v>0</v>
      </c>
      <c r="H114" s="35" t="n">
        <f aca="false">SUMIFS('DANE I ODTWARZANIE'!$S$8:$S$15,'DANE I ODTWARZANIE'!$A$8:$A$15,$A12)</f>
        <v>0</v>
      </c>
      <c r="I114" s="35" t="n">
        <f aca="false">SUMIFS('DANE I ODTWARZANIE'!$S$8:$S$15,'DANE I ODTWARZANIE'!$A$8:$A$15,$A13)</f>
        <v>0</v>
      </c>
      <c r="J114" s="35" t="n">
        <f aca="false">SUMIFS('DANE I ODTWARZANIE'!$S$8:$S$15,'DANE I ODTWARZANIE'!$A$8:$A$15,$A14)</f>
        <v>0</v>
      </c>
    </row>
    <row r="115" customFormat="false" ht="18" hidden="false" customHeight="true" outlineLevel="0" collapsed="false">
      <c r="A115" s="26" t="s">
        <v>361</v>
      </c>
      <c r="B115" s="27" t="s">
        <v>106</v>
      </c>
      <c r="C115" s="35" t="n">
        <f aca="false">SUMIFS('DANE I ODTWARZANIE'!$T$8:$T$15,'DANE I ODTWARZANIE'!$A$8:$A$15,$A7)</f>
        <v>0</v>
      </c>
      <c r="D115" s="35" t="n">
        <f aca="false">SUMIFS('DANE I ODTWARZANIE'!$T$8:$T$15,'DANE I ODTWARZANIE'!$A$8:$A$15,$A8)</f>
        <v>0</v>
      </c>
      <c r="E115" s="35" t="n">
        <f aca="false">SUMIFS('DANE I ODTWARZANIE'!$T$8:$T$15,'DANE I ODTWARZANIE'!$A$8:$A$15,$A9)</f>
        <v>0</v>
      </c>
      <c r="F115" s="35" t="n">
        <f aca="false">SUMIFS('DANE I ODTWARZANIE'!$T$8:$T$15,'DANE I ODTWARZANIE'!$A$8:$A$15,$A10)</f>
        <v>0</v>
      </c>
      <c r="G115" s="35" t="n">
        <f aca="false">SUMIFS('DANE I ODTWARZANIE'!$T$8:$T$15,'DANE I ODTWARZANIE'!$A$8:$A$15,$A11)</f>
        <v>0</v>
      </c>
      <c r="H115" s="35" t="n">
        <f aca="false">SUMIFS('DANE I ODTWARZANIE'!$T$8:$T$15,'DANE I ODTWARZANIE'!$A$8:$A$15,$A12)</f>
        <v>0</v>
      </c>
      <c r="I115" s="35" t="n">
        <f aca="false">SUMIFS('DANE I ODTWARZANIE'!$T$8:$T$15,'DANE I ODTWARZANIE'!$A$8:$A$15,$A13)</f>
        <v>0</v>
      </c>
      <c r="J115" s="35" t="n">
        <f aca="false">SUMIFS('DANE I ODTWARZANIE'!$T$8:$T$15,'DANE I ODTWARZANIE'!$A$8:$A$15,$A14)</f>
        <v>0</v>
      </c>
    </row>
    <row r="116" customFormat="false" ht="18" hidden="false" customHeight="true" outlineLevel="0" collapsed="false">
      <c r="A116" s="26" t="s">
        <v>362</v>
      </c>
      <c r="B116" s="27" t="s">
        <v>106</v>
      </c>
      <c r="C116" s="35" t="n">
        <f aca="false">SUMIFS('DANE I ODTWARZANIE'!$U$8:$U$15,'DANE I ODTWARZANIE'!$A$8:$A$15,$A7)</f>
        <v>0</v>
      </c>
      <c r="D116" s="35" t="n">
        <f aca="false">SUMIFS('DANE I ODTWARZANIE'!$U$8:$U$15,'DANE I ODTWARZANIE'!$A$8:$A$15,$A8)</f>
        <v>0</v>
      </c>
      <c r="E116" s="35" t="n">
        <f aca="false">SUMIFS('DANE I ODTWARZANIE'!$U$8:$U$15,'DANE I ODTWARZANIE'!$A$8:$A$15,$A9)</f>
        <v>0</v>
      </c>
      <c r="F116" s="35" t="n">
        <f aca="false">SUMIFS('DANE I ODTWARZANIE'!$U$8:$U$15,'DANE I ODTWARZANIE'!$A$8:$A$15,$A10)</f>
        <v>0</v>
      </c>
      <c r="G116" s="35" t="n">
        <f aca="false">SUMIFS('DANE I ODTWARZANIE'!$U$8:$U$15,'DANE I ODTWARZANIE'!$A$8:$A$15,$A11)</f>
        <v>0</v>
      </c>
      <c r="H116" s="35" t="n">
        <f aca="false">SUMIFS('DANE I ODTWARZANIE'!$U$8:$U$15,'DANE I ODTWARZANIE'!$A$8:$A$15,$A12)</f>
        <v>0</v>
      </c>
      <c r="I116" s="35" t="n">
        <f aca="false">SUMIFS('DANE I ODTWARZANIE'!$U$8:$U$15,'DANE I ODTWARZANIE'!$A$8:$A$15,$A13)</f>
        <v>0</v>
      </c>
      <c r="J116" s="35" t="n">
        <f aca="false">SUMIFS('DANE I ODTWARZANIE'!$U$8:$U$15,'DANE I ODTWARZANIE'!$A$8:$A$15,$A14)</f>
        <v>0</v>
      </c>
    </row>
    <row r="117" customFormat="false" ht="18" hidden="false" customHeight="true" outlineLevel="0" collapsed="false">
      <c r="A117" s="26" t="s">
        <v>363</v>
      </c>
      <c r="B117" s="27" t="s">
        <v>106</v>
      </c>
      <c r="C117" s="35" t="n">
        <f aca="false">SUMIFS('DANE I ODTWARZANIE'!$V$8:$V$15,'DANE I ODTWARZANIE'!$A$8:$A$15,$A7)</f>
        <v>0</v>
      </c>
      <c r="D117" s="35" t="n">
        <f aca="false">SUMIFS('DANE I ODTWARZANIE'!$V$8:$V$15,'DANE I ODTWARZANIE'!$A$8:$A$15,$A8)</f>
        <v>0</v>
      </c>
      <c r="E117" s="35" t="n">
        <f aca="false">SUMIFS('DANE I ODTWARZANIE'!$V$8:$V$15,'DANE I ODTWARZANIE'!$A$8:$A$15,$A9)</f>
        <v>0</v>
      </c>
      <c r="F117" s="35" t="n">
        <f aca="false">SUMIFS('DANE I ODTWARZANIE'!$V$8:$V$15,'DANE I ODTWARZANIE'!$A$8:$A$15,$A10)</f>
        <v>0</v>
      </c>
      <c r="G117" s="35" t="n">
        <f aca="false">SUMIFS('DANE I ODTWARZANIE'!$V$8:$V$15,'DANE I ODTWARZANIE'!$A$8:$A$15,$A11)</f>
        <v>0</v>
      </c>
      <c r="H117" s="35" t="n">
        <f aca="false">SUMIFS('DANE I ODTWARZANIE'!$V$8:$V$15,'DANE I ODTWARZANIE'!$A$8:$A$15,$A12)</f>
        <v>0</v>
      </c>
      <c r="I117" s="35" t="n">
        <f aca="false">SUMIFS('DANE I ODTWARZANIE'!$V$8:$V$15,'DANE I ODTWARZANIE'!$A$8:$A$15,$A13)</f>
        <v>0</v>
      </c>
      <c r="J117" s="35" t="n">
        <f aca="false">SUMIFS('DANE I ODTWARZANIE'!$V$8:$V$15,'DANE I ODTWARZANIE'!$A$8:$A$15,$A14)</f>
        <v>0</v>
      </c>
    </row>
    <row r="118" customFormat="false" ht="18" hidden="false" customHeight="true" outlineLevel="0" collapsed="false">
      <c r="A118" s="26" t="s">
        <v>364</v>
      </c>
      <c r="B118" s="27" t="s">
        <v>106</v>
      </c>
      <c r="C118" s="35" t="n">
        <f aca="false">SUMIFS('DANE I ODTWARZANIE'!$W$8:$W$15,'DANE I ODTWARZANIE'!$A$8:$A$15,$A7)</f>
        <v>0</v>
      </c>
      <c r="D118" s="35" t="n">
        <f aca="false">SUMIFS('DANE I ODTWARZANIE'!$W$8:$W$15,'DANE I ODTWARZANIE'!$A$8:$A$15,$A8)</f>
        <v>0</v>
      </c>
      <c r="E118" s="35" t="n">
        <f aca="false">SUMIFS('DANE I ODTWARZANIE'!$W$8:$W$15,'DANE I ODTWARZANIE'!$A$8:$A$15,$A9)</f>
        <v>0</v>
      </c>
      <c r="F118" s="35" t="n">
        <f aca="false">SUMIFS('DANE I ODTWARZANIE'!$W$8:$W$15,'DANE I ODTWARZANIE'!$A$8:$A$15,$A10)</f>
        <v>0</v>
      </c>
      <c r="G118" s="35" t="n">
        <f aca="false">SUMIFS('DANE I ODTWARZANIE'!$W$8:$W$15,'DANE I ODTWARZANIE'!$A$8:$A$15,$A11)</f>
        <v>0</v>
      </c>
      <c r="H118" s="35" t="n">
        <f aca="false">SUMIFS('DANE I ODTWARZANIE'!$W$8:$W$15,'DANE I ODTWARZANIE'!$A$8:$A$15,$A12)</f>
        <v>0</v>
      </c>
      <c r="I118" s="35" t="n">
        <f aca="false">SUMIFS('DANE I ODTWARZANIE'!$W$8:$W$15,'DANE I ODTWARZANIE'!$A$8:$A$15,$A13)</f>
        <v>0</v>
      </c>
      <c r="J118" s="35" t="n">
        <f aca="false">SUMIFS('DANE I ODTWARZANIE'!$W$8:$W$15,'DANE I ODTWARZANIE'!$A$8:$A$15,$A14)</f>
        <v>0</v>
      </c>
    </row>
    <row r="119" customFormat="false" ht="18" hidden="false" customHeight="true" outlineLevel="0" collapsed="false">
      <c r="A119" s="26" t="s">
        <v>365</v>
      </c>
      <c r="B119" s="27" t="s">
        <v>106</v>
      </c>
      <c r="C119" s="35" t="n">
        <f aca="false">SUMIFS('KLIENT PRAWO CYBER'!$M$9:$M$38,'KLIENT PRAWO CYBER'!$B$9:$B$38,$A7,'KLIENT PRAWO CYBER'!$E$9:$E$38,"GOTÓWKA")</f>
        <v>0</v>
      </c>
      <c r="D119" s="35" t="n">
        <f aca="false">SUMIFS('KLIENT PRAWO CYBER'!$M$9:$M$38,'KLIENT PRAWO CYBER'!$B$9:$B$38,$A8,'KLIENT PRAWO CYBER'!$E$9:$E$38,"GOTÓWKA")</f>
        <v>0</v>
      </c>
      <c r="E119" s="35" t="n">
        <f aca="false">SUMIFS('KLIENT PRAWO CYBER'!$M$9:$M$38,'KLIENT PRAWO CYBER'!$B$9:$B$38,$A9,'KLIENT PRAWO CYBER'!$E$9:$E$38,"GOTÓWKA")</f>
        <v>0</v>
      </c>
      <c r="F119" s="35" t="n">
        <f aca="false">SUMIFS('KLIENT PRAWO CYBER'!$M$9:$M$38,'KLIENT PRAWO CYBER'!$B$9:$B$38,$A10,'KLIENT PRAWO CYBER'!$E$9:$E$38,"GOTÓWKA")</f>
        <v>0</v>
      </c>
      <c r="G119" s="35" t="n">
        <f aca="false">SUMIFS('KLIENT PRAWO CYBER'!$M$9:$M$38,'KLIENT PRAWO CYBER'!$B$9:$B$38,$A11,'KLIENT PRAWO CYBER'!$E$9:$E$38,"GOTÓWKA")</f>
        <v>0</v>
      </c>
      <c r="H119" s="35" t="n">
        <f aca="false">SUMIFS('KLIENT PRAWO CYBER'!$M$9:$M$38,'KLIENT PRAWO CYBER'!$B$9:$B$38,$A12,'KLIENT PRAWO CYBER'!$E$9:$E$38,"GOTÓWKA")</f>
        <v>0</v>
      </c>
      <c r="I119" s="35" t="n">
        <f aca="false">SUMIFS('KLIENT PRAWO CYBER'!$M$9:$M$38,'KLIENT PRAWO CYBER'!$B$9:$B$38,$A13,'KLIENT PRAWO CYBER'!$E$9:$E$38,"GOTÓWKA")</f>
        <v>0</v>
      </c>
      <c r="J119" s="35" t="n">
        <f aca="false">SUMIFS('KLIENT PRAWO CYBER'!$M$9:$M$38,'KLIENT PRAWO CYBER'!$B$9:$B$38,$A14,'KLIENT PRAWO CYBER'!$E$9:$E$38,"GOTÓWKA")</f>
        <v>0</v>
      </c>
    </row>
    <row r="120" customFormat="false" ht="18" hidden="false" customHeight="true" outlineLevel="0" collapsed="false">
      <c r="A120" s="26" t="s">
        <v>366</v>
      </c>
      <c r="B120" s="27" t="s">
        <v>106</v>
      </c>
      <c r="C120" s="35" t="n">
        <f aca="false">SUMIFS('KLIENT PRAWO CYBER'!$N$9:$N$38,'KLIENT PRAWO CYBER'!$B$9:$B$38,$A7,'KLIENT PRAWO CYBER'!$E$9:$E$38,"GOTÓWKA")</f>
        <v>0</v>
      </c>
      <c r="D120" s="35" t="n">
        <f aca="false">SUMIFS('KLIENT PRAWO CYBER'!$N$9:$N$38,'KLIENT PRAWO CYBER'!$B$9:$B$38,$A8,'KLIENT PRAWO CYBER'!$E$9:$E$38,"GOTÓWKA")</f>
        <v>0</v>
      </c>
      <c r="E120" s="35" t="n">
        <f aca="false">SUMIFS('KLIENT PRAWO CYBER'!$N$9:$N$38,'KLIENT PRAWO CYBER'!$B$9:$B$38,$A9,'KLIENT PRAWO CYBER'!$E$9:$E$38,"GOTÓWKA")</f>
        <v>0</v>
      </c>
      <c r="F120" s="35" t="n">
        <f aca="false">SUMIFS('KLIENT PRAWO CYBER'!$N$9:$N$38,'KLIENT PRAWO CYBER'!$B$9:$B$38,$A10,'KLIENT PRAWO CYBER'!$E$9:$E$38,"GOTÓWKA")</f>
        <v>0</v>
      </c>
      <c r="G120" s="35" t="n">
        <f aca="false">SUMIFS('KLIENT PRAWO CYBER'!$N$9:$N$38,'KLIENT PRAWO CYBER'!$B$9:$B$38,$A11,'KLIENT PRAWO CYBER'!$E$9:$E$38,"GOTÓWKA")</f>
        <v>0</v>
      </c>
      <c r="H120" s="35" t="n">
        <f aca="false">SUMIFS('KLIENT PRAWO CYBER'!$N$9:$N$38,'KLIENT PRAWO CYBER'!$B$9:$B$38,$A12,'KLIENT PRAWO CYBER'!$E$9:$E$38,"GOTÓWKA")</f>
        <v>0</v>
      </c>
      <c r="I120" s="35" t="n">
        <f aca="false">SUMIFS('KLIENT PRAWO CYBER'!$N$9:$N$38,'KLIENT PRAWO CYBER'!$B$9:$B$38,$A13,'KLIENT PRAWO CYBER'!$E$9:$E$38,"GOTÓWKA")</f>
        <v>0</v>
      </c>
      <c r="J120" s="35" t="n">
        <f aca="false">SUMIFS('KLIENT PRAWO CYBER'!$N$9:$N$38,'KLIENT PRAWO CYBER'!$B$9:$B$38,$A14,'KLIENT PRAWO CYBER'!$E$9:$E$38,"GOTÓWKA")</f>
        <v>0</v>
      </c>
    </row>
    <row r="121" customFormat="false" ht="18" hidden="false" customHeight="true" outlineLevel="0" collapsed="false">
      <c r="A121" s="26" t="s">
        <v>367</v>
      </c>
      <c r="B121" s="27" t="s">
        <v>106</v>
      </c>
      <c r="C121" s="35" t="n">
        <f aca="false">SUMIFS('KLIENT PRAWO CYBER'!$O$9:$O$38,'KLIENT PRAWO CYBER'!$B$9:$B$38,$A7,'KLIENT PRAWO CYBER'!$E$9:$E$38,"GOTÓWKA")</f>
        <v>0</v>
      </c>
      <c r="D121" s="35" t="n">
        <f aca="false">SUMIFS('KLIENT PRAWO CYBER'!$O$9:$O$38,'KLIENT PRAWO CYBER'!$B$9:$B$38,$A8,'KLIENT PRAWO CYBER'!$E$9:$E$38,"GOTÓWKA")</f>
        <v>0</v>
      </c>
      <c r="E121" s="35" t="n">
        <f aca="false">SUMIFS('KLIENT PRAWO CYBER'!$O$9:$O$38,'KLIENT PRAWO CYBER'!$B$9:$B$38,$A9,'KLIENT PRAWO CYBER'!$E$9:$E$38,"GOTÓWKA")</f>
        <v>0</v>
      </c>
      <c r="F121" s="35" t="n">
        <f aca="false">SUMIFS('KLIENT PRAWO CYBER'!$O$9:$O$38,'KLIENT PRAWO CYBER'!$B$9:$B$38,$A10,'KLIENT PRAWO CYBER'!$E$9:$E$38,"GOTÓWKA")</f>
        <v>0</v>
      </c>
      <c r="G121" s="35" t="n">
        <f aca="false">SUMIFS('KLIENT PRAWO CYBER'!$O$9:$O$38,'KLIENT PRAWO CYBER'!$B$9:$B$38,$A11,'KLIENT PRAWO CYBER'!$E$9:$E$38,"GOTÓWKA")</f>
        <v>0</v>
      </c>
      <c r="H121" s="35" t="n">
        <f aca="false">SUMIFS('KLIENT PRAWO CYBER'!$O$9:$O$38,'KLIENT PRAWO CYBER'!$B$9:$B$38,$A12,'KLIENT PRAWO CYBER'!$E$9:$E$38,"GOTÓWKA")</f>
        <v>0</v>
      </c>
      <c r="I121" s="35" t="n">
        <f aca="false">SUMIFS('KLIENT PRAWO CYBER'!$O$9:$O$38,'KLIENT PRAWO CYBER'!$B$9:$B$38,$A13,'KLIENT PRAWO CYBER'!$E$9:$E$38,"GOTÓWKA")</f>
        <v>0</v>
      </c>
      <c r="J121" s="35" t="n">
        <f aca="false">SUMIFS('KLIENT PRAWO CYBER'!$O$9:$O$38,'KLIENT PRAWO CYBER'!$B$9:$B$38,$A14,'KLIENT PRAWO CYBER'!$E$9:$E$38,"GOTÓWKA")</f>
        <v>0</v>
      </c>
    </row>
    <row r="122" customFormat="false" ht="18" hidden="false" customHeight="true" outlineLevel="0" collapsed="false">
      <c r="A122" s="26" t="s">
        <v>368</v>
      </c>
      <c r="B122" s="27" t="s">
        <v>106</v>
      </c>
      <c r="C122" s="35" t="n">
        <f aca="false">SUMIFS('KOSZTY SZCZEGÓŁOWE'!$V$7:$V$126,'KOSZTY SZCZEGÓŁOWE'!$B$7:$B$126,$A7,'KOSZTY SZCZEGÓŁOWE'!$F$7:$F$126,"WARUNKOWA")+SUMIFS('KLIENT PRAWO CYBER'!$M$9:$M$38,'KLIENT PRAWO CYBER'!$B$9:$B$38,$A7,'KLIENT PRAWO CYBER'!$E$9:$E$38,"WARUNKOWA")</f>
        <v>0</v>
      </c>
      <c r="D122" s="35" t="n">
        <f aca="false">SUMIFS('KOSZTY SZCZEGÓŁOWE'!$V$7:$V$126,'KOSZTY SZCZEGÓŁOWE'!$B$7:$B$126,$A8,'KOSZTY SZCZEGÓŁOWE'!$F$7:$F$126,"WARUNKOWA")+SUMIFS('KLIENT PRAWO CYBER'!$M$9:$M$38,'KLIENT PRAWO CYBER'!$B$9:$B$38,$A8,'KLIENT PRAWO CYBER'!$E$9:$E$38,"WARUNKOWA")</f>
        <v>0</v>
      </c>
      <c r="E122" s="35" t="n">
        <f aca="false">SUMIFS('KOSZTY SZCZEGÓŁOWE'!$V$7:$V$126,'KOSZTY SZCZEGÓŁOWE'!$B$7:$B$126,$A9,'KOSZTY SZCZEGÓŁOWE'!$F$7:$F$126,"WARUNKOWA")+SUMIFS('KLIENT PRAWO CYBER'!$M$9:$M$38,'KLIENT PRAWO CYBER'!$B$9:$B$38,$A9,'KLIENT PRAWO CYBER'!$E$9:$E$38,"WARUNKOWA")</f>
        <v>0</v>
      </c>
      <c r="F122" s="35" t="n">
        <f aca="false">SUMIFS('KOSZTY SZCZEGÓŁOWE'!$V$7:$V$126,'KOSZTY SZCZEGÓŁOWE'!$B$7:$B$126,$A10,'KOSZTY SZCZEGÓŁOWE'!$F$7:$F$126,"WARUNKOWA")+SUMIFS('KLIENT PRAWO CYBER'!$M$9:$M$38,'KLIENT PRAWO CYBER'!$B$9:$B$38,$A10,'KLIENT PRAWO CYBER'!$E$9:$E$38,"WARUNKOWA")</f>
        <v>0</v>
      </c>
      <c r="G122" s="35" t="n">
        <f aca="false">SUMIFS('KOSZTY SZCZEGÓŁOWE'!$V$7:$V$126,'KOSZTY SZCZEGÓŁOWE'!$B$7:$B$126,$A11,'KOSZTY SZCZEGÓŁOWE'!$F$7:$F$126,"WARUNKOWA")+SUMIFS('KLIENT PRAWO CYBER'!$M$9:$M$38,'KLIENT PRAWO CYBER'!$B$9:$B$38,$A11,'KLIENT PRAWO CYBER'!$E$9:$E$38,"WARUNKOWA")</f>
        <v>0</v>
      </c>
      <c r="H122" s="35" t="n">
        <f aca="false">SUMIFS('KOSZTY SZCZEGÓŁOWE'!$V$7:$V$126,'KOSZTY SZCZEGÓŁOWE'!$B$7:$B$126,$A12,'KOSZTY SZCZEGÓŁOWE'!$F$7:$F$126,"WARUNKOWA")+SUMIFS('KLIENT PRAWO CYBER'!$M$9:$M$38,'KLIENT PRAWO CYBER'!$B$9:$B$38,$A12,'KLIENT PRAWO CYBER'!$E$9:$E$38,"WARUNKOWA")</f>
        <v>0</v>
      </c>
      <c r="I122" s="35" t="n">
        <f aca="false">SUMIFS('KOSZTY SZCZEGÓŁOWE'!$V$7:$V$126,'KOSZTY SZCZEGÓŁOWE'!$B$7:$B$126,$A13,'KOSZTY SZCZEGÓŁOWE'!$F$7:$F$126,"WARUNKOWA")+SUMIFS('KLIENT PRAWO CYBER'!$M$9:$M$38,'KLIENT PRAWO CYBER'!$B$9:$B$38,$A13,'KLIENT PRAWO CYBER'!$E$9:$E$38,"WARUNKOWA")</f>
        <v>0</v>
      </c>
      <c r="J122" s="35" t="n">
        <f aca="false">SUMIFS('KOSZTY SZCZEGÓŁOWE'!$V$7:$V$126,'KOSZTY SZCZEGÓŁOWE'!$B$7:$B$126,$A14,'KOSZTY SZCZEGÓŁOWE'!$F$7:$F$126,"WARUNKOWA")+SUMIFS('KLIENT PRAWO CYBER'!$M$9:$M$38,'KLIENT PRAWO CYBER'!$B$9:$B$38,$A14,'KLIENT PRAWO CYBER'!$E$9:$E$38,"WARUNKOWA")</f>
        <v>0</v>
      </c>
    </row>
    <row r="123" customFormat="false" ht="18" hidden="false" customHeight="true" outlineLevel="0" collapsed="false">
      <c r="A123" s="36" t="s">
        <v>369</v>
      </c>
      <c r="B123" s="27" t="s">
        <v>106</v>
      </c>
      <c r="C123" s="62" t="n">
        <f aca="false">SUMIFS('KOSZTY SZCZEGÓŁOWE'!$W$7:$W$126,'KOSZTY SZCZEGÓŁOWE'!$B$7:$B$126,$A7,'KOSZTY SZCZEGÓŁOWE'!$F$7:$F$126,"WARUNKOWA")+SUMIFS('KLIENT PRAWO CYBER'!$N$9:$N$38,'KLIENT PRAWO CYBER'!$B$9:$B$38,$A7,'KLIENT PRAWO CYBER'!$E$9:$E$38,"WARUNKOWA")</f>
        <v>0</v>
      </c>
      <c r="D123" s="62" t="n">
        <f aca="false">SUMIFS('KOSZTY SZCZEGÓŁOWE'!$W$7:$W$126,'KOSZTY SZCZEGÓŁOWE'!$B$7:$B$126,$A8,'KOSZTY SZCZEGÓŁOWE'!$F$7:$F$126,"WARUNKOWA")+SUMIFS('KLIENT PRAWO CYBER'!$N$9:$N$38,'KLIENT PRAWO CYBER'!$B$9:$B$38,$A8,'KLIENT PRAWO CYBER'!$E$9:$E$38,"WARUNKOWA")</f>
        <v>0</v>
      </c>
      <c r="E123" s="62" t="n">
        <f aca="false">SUMIFS('KOSZTY SZCZEGÓŁOWE'!$W$7:$W$126,'KOSZTY SZCZEGÓŁOWE'!$B$7:$B$126,$A9,'KOSZTY SZCZEGÓŁOWE'!$F$7:$F$126,"WARUNKOWA")+SUMIFS('KLIENT PRAWO CYBER'!$N$9:$N$38,'KLIENT PRAWO CYBER'!$B$9:$B$38,$A9,'KLIENT PRAWO CYBER'!$E$9:$E$38,"WARUNKOWA")</f>
        <v>0</v>
      </c>
      <c r="F123" s="62" t="n">
        <f aca="false">SUMIFS('KOSZTY SZCZEGÓŁOWE'!$W$7:$W$126,'KOSZTY SZCZEGÓŁOWE'!$B$7:$B$126,$A10,'KOSZTY SZCZEGÓŁOWE'!$F$7:$F$126,"WARUNKOWA")+SUMIFS('KLIENT PRAWO CYBER'!$N$9:$N$38,'KLIENT PRAWO CYBER'!$B$9:$B$38,$A10,'KLIENT PRAWO CYBER'!$E$9:$E$38,"WARUNKOWA")</f>
        <v>0</v>
      </c>
      <c r="G123" s="62" t="n">
        <f aca="false">SUMIFS('KOSZTY SZCZEGÓŁOWE'!$W$7:$W$126,'KOSZTY SZCZEGÓŁOWE'!$B$7:$B$126,$A11,'KOSZTY SZCZEGÓŁOWE'!$F$7:$F$126,"WARUNKOWA")+SUMIFS('KLIENT PRAWO CYBER'!$N$9:$N$38,'KLIENT PRAWO CYBER'!$B$9:$B$38,$A11,'KLIENT PRAWO CYBER'!$E$9:$E$38,"WARUNKOWA")</f>
        <v>0</v>
      </c>
      <c r="H123" s="62" t="n">
        <f aca="false">SUMIFS('KOSZTY SZCZEGÓŁOWE'!$W$7:$W$126,'KOSZTY SZCZEGÓŁOWE'!$B$7:$B$126,$A12,'KOSZTY SZCZEGÓŁOWE'!$F$7:$F$126,"WARUNKOWA")+SUMIFS('KLIENT PRAWO CYBER'!$N$9:$N$38,'KLIENT PRAWO CYBER'!$B$9:$B$38,$A12,'KLIENT PRAWO CYBER'!$E$9:$E$38,"WARUNKOWA")</f>
        <v>0</v>
      </c>
      <c r="I123" s="62" t="n">
        <f aca="false">SUMIFS('KOSZTY SZCZEGÓŁOWE'!$W$7:$W$126,'KOSZTY SZCZEGÓŁOWE'!$B$7:$B$126,$A13,'KOSZTY SZCZEGÓŁOWE'!$F$7:$F$126,"WARUNKOWA")+SUMIFS('KLIENT PRAWO CYBER'!$N$9:$N$38,'KLIENT PRAWO CYBER'!$B$9:$B$38,$A13,'KLIENT PRAWO CYBER'!$E$9:$E$38,"WARUNKOWA")</f>
        <v>0</v>
      </c>
      <c r="J123" s="62" t="n">
        <f aca="false">SUMIFS('KOSZTY SZCZEGÓŁOWE'!$W$7:$W$126,'KOSZTY SZCZEGÓŁOWE'!$B$7:$B$126,$A14,'KOSZTY SZCZEGÓŁOWE'!$F$7:$F$126,"WARUNKOWA")+SUMIFS('KLIENT PRAWO CYBER'!$N$9:$N$38,'KLIENT PRAWO CYBER'!$B$9:$B$38,$A14,'KLIENT PRAWO CYBER'!$E$9:$E$38,"WARUNKOWA")</f>
        <v>0</v>
      </c>
    </row>
    <row r="124" customFormat="false" ht="18" hidden="false" customHeight="true" outlineLevel="0" collapsed="false">
      <c r="A124" s="26" t="s">
        <v>370</v>
      </c>
      <c r="B124" s="27" t="s">
        <v>106</v>
      </c>
      <c r="C124" s="35" t="n">
        <f aca="false">SUMIFS('KOSZTY SZCZEGÓŁOWE'!$X$7:$X$126,'KOSZTY SZCZEGÓŁOWE'!$B$7:$B$126,$A7,'KOSZTY SZCZEGÓŁOWE'!$F$7:$F$126,"WARUNKOWA")+SUMIFS('KLIENT PRAWO CYBER'!$O$9:$O$38,'KLIENT PRAWO CYBER'!$B$9:$B$38,$A7,'KLIENT PRAWO CYBER'!$E$9:$E$38,"WARUNKOWA")</f>
        <v>0</v>
      </c>
      <c r="D124" s="35" t="n">
        <f aca="false">SUMIFS('KOSZTY SZCZEGÓŁOWE'!$X$7:$X$126,'KOSZTY SZCZEGÓŁOWE'!$B$7:$B$126,$A8,'KOSZTY SZCZEGÓŁOWE'!$F$7:$F$126,"WARUNKOWA")+SUMIFS('KLIENT PRAWO CYBER'!$O$9:$O$38,'KLIENT PRAWO CYBER'!$B$9:$B$38,$A8,'KLIENT PRAWO CYBER'!$E$9:$E$38,"WARUNKOWA")</f>
        <v>0</v>
      </c>
      <c r="E124" s="35" t="n">
        <f aca="false">SUMIFS('KOSZTY SZCZEGÓŁOWE'!$X$7:$X$126,'KOSZTY SZCZEGÓŁOWE'!$B$7:$B$126,$A9,'KOSZTY SZCZEGÓŁOWE'!$F$7:$F$126,"WARUNKOWA")+SUMIFS('KLIENT PRAWO CYBER'!$O$9:$O$38,'KLIENT PRAWO CYBER'!$B$9:$B$38,$A9,'KLIENT PRAWO CYBER'!$E$9:$E$38,"WARUNKOWA")</f>
        <v>0</v>
      </c>
      <c r="F124" s="35" t="n">
        <f aca="false">SUMIFS('KOSZTY SZCZEGÓŁOWE'!$X$7:$X$126,'KOSZTY SZCZEGÓŁOWE'!$B$7:$B$126,$A10,'KOSZTY SZCZEGÓŁOWE'!$F$7:$F$126,"WARUNKOWA")+SUMIFS('KLIENT PRAWO CYBER'!$O$9:$O$38,'KLIENT PRAWO CYBER'!$B$9:$B$38,$A10,'KLIENT PRAWO CYBER'!$E$9:$E$38,"WARUNKOWA")</f>
        <v>0</v>
      </c>
      <c r="G124" s="35" t="n">
        <f aca="false">SUMIFS('KOSZTY SZCZEGÓŁOWE'!$X$7:$X$126,'KOSZTY SZCZEGÓŁOWE'!$B$7:$B$126,$A11,'KOSZTY SZCZEGÓŁOWE'!$F$7:$F$126,"WARUNKOWA")+SUMIFS('KLIENT PRAWO CYBER'!$O$9:$O$38,'KLIENT PRAWO CYBER'!$B$9:$B$38,$A11,'KLIENT PRAWO CYBER'!$E$9:$E$38,"WARUNKOWA")</f>
        <v>0</v>
      </c>
      <c r="H124" s="35" t="n">
        <f aca="false">SUMIFS('KOSZTY SZCZEGÓŁOWE'!$X$7:$X$126,'KOSZTY SZCZEGÓŁOWE'!$B$7:$B$126,$A12,'KOSZTY SZCZEGÓŁOWE'!$F$7:$F$126,"WARUNKOWA")+SUMIFS('KLIENT PRAWO CYBER'!$O$9:$O$38,'KLIENT PRAWO CYBER'!$B$9:$B$38,$A12,'KLIENT PRAWO CYBER'!$E$9:$E$38,"WARUNKOWA")</f>
        <v>0</v>
      </c>
      <c r="I124" s="35" t="n">
        <f aca="false">SUMIFS('KOSZTY SZCZEGÓŁOWE'!$X$7:$X$126,'KOSZTY SZCZEGÓŁOWE'!$B$7:$B$126,$A13,'KOSZTY SZCZEGÓŁOWE'!$F$7:$F$126,"WARUNKOWA")+SUMIFS('KLIENT PRAWO CYBER'!$O$9:$O$38,'KLIENT PRAWO CYBER'!$B$9:$B$38,$A13,'KLIENT PRAWO CYBER'!$E$9:$E$38,"WARUNKOWA")</f>
        <v>0</v>
      </c>
      <c r="J124" s="35" t="n">
        <f aca="false">SUMIFS('KOSZTY SZCZEGÓŁOWE'!$X$7:$X$126,'KOSZTY SZCZEGÓŁOWE'!$B$7:$B$126,$A14,'KOSZTY SZCZEGÓŁOWE'!$F$7:$F$126,"WARUNKOWA")+SUMIFS('KLIENT PRAWO CYBER'!$O$9:$O$38,'KLIENT PRAWO CYBER'!$B$9:$B$38,$A14,'KLIENT PRAWO CYBER'!$E$9:$E$38,"WARUNKOWA")</f>
        <v>0</v>
      </c>
    </row>
    <row r="125" customFormat="false" ht="18" hidden="false" customHeight="true" outlineLevel="0" collapsed="false">
      <c r="A125" s="26" t="s">
        <v>371</v>
      </c>
      <c r="B125" s="27" t="s">
        <v>106</v>
      </c>
      <c r="C125" s="35" t="n">
        <f aca="false">SUMIFS('KOSZTY SZCZEGÓŁOWE'!$V$7:$V$126,'KOSZTY SZCZEGÓŁOWE'!$B$7:$B$126,$A7,'KOSZTY SZCZEGÓŁOWE'!$F$7:$F$126,"ODZYSK")</f>
        <v>0</v>
      </c>
      <c r="D125" s="35" t="n">
        <f aca="false">SUMIFS('KOSZTY SZCZEGÓŁOWE'!$V$7:$V$126,'KOSZTY SZCZEGÓŁOWE'!$B$7:$B$126,$A8,'KOSZTY SZCZEGÓŁOWE'!$F$7:$F$126,"ODZYSK")</f>
        <v>0</v>
      </c>
      <c r="E125" s="35" t="n">
        <f aca="false">SUMIFS('KOSZTY SZCZEGÓŁOWE'!$V$7:$V$126,'KOSZTY SZCZEGÓŁOWE'!$B$7:$B$126,$A9,'KOSZTY SZCZEGÓŁOWE'!$F$7:$F$126,"ODZYSK")</f>
        <v>0</v>
      </c>
      <c r="F125" s="35" t="n">
        <f aca="false">SUMIFS('KOSZTY SZCZEGÓŁOWE'!$V$7:$V$126,'KOSZTY SZCZEGÓŁOWE'!$B$7:$B$126,$A10,'KOSZTY SZCZEGÓŁOWE'!$F$7:$F$126,"ODZYSK")</f>
        <v>0</v>
      </c>
      <c r="G125" s="35" t="n">
        <f aca="false">SUMIFS('KOSZTY SZCZEGÓŁOWE'!$V$7:$V$126,'KOSZTY SZCZEGÓŁOWE'!$B$7:$B$126,$A11,'KOSZTY SZCZEGÓŁOWE'!$F$7:$F$126,"ODZYSK")</f>
        <v>0</v>
      </c>
      <c r="H125" s="35" t="n">
        <f aca="false">SUMIFS('KOSZTY SZCZEGÓŁOWE'!$V$7:$V$126,'KOSZTY SZCZEGÓŁOWE'!$B$7:$B$126,$A12,'KOSZTY SZCZEGÓŁOWE'!$F$7:$F$126,"ODZYSK")</f>
        <v>0</v>
      </c>
      <c r="I125" s="35" t="n">
        <f aca="false">SUMIFS('KOSZTY SZCZEGÓŁOWE'!$V$7:$V$126,'KOSZTY SZCZEGÓŁOWE'!$B$7:$B$126,$A13,'KOSZTY SZCZEGÓŁOWE'!$F$7:$F$126,"ODZYSK")</f>
        <v>0</v>
      </c>
      <c r="J125" s="35" t="n">
        <f aca="false">SUMIFS('KOSZTY SZCZEGÓŁOWE'!$V$7:$V$126,'KOSZTY SZCZEGÓŁOWE'!$B$7:$B$126,$A14,'KOSZTY SZCZEGÓŁOWE'!$F$7:$F$126,"ODZYSK")</f>
        <v>0</v>
      </c>
    </row>
    <row r="126" customFormat="false" ht="18" hidden="false" customHeight="true" outlineLevel="0" collapsed="false">
      <c r="A126" s="36" t="s">
        <v>372</v>
      </c>
      <c r="B126" s="27" t="s">
        <v>106</v>
      </c>
      <c r="C126" s="62" t="n">
        <f aca="false">SUMIFS('KOSZTY SZCZEGÓŁOWE'!$W$7:$W$126,'KOSZTY SZCZEGÓŁOWE'!$B$7:$B$126,$A7,'KOSZTY SZCZEGÓŁOWE'!$F$7:$F$126,"ODZYSK")</f>
        <v>0</v>
      </c>
      <c r="D126" s="62" t="n">
        <f aca="false">SUMIFS('KOSZTY SZCZEGÓŁOWE'!$W$7:$W$126,'KOSZTY SZCZEGÓŁOWE'!$B$7:$B$126,$A8,'KOSZTY SZCZEGÓŁOWE'!$F$7:$F$126,"ODZYSK")</f>
        <v>0</v>
      </c>
      <c r="E126" s="62" t="n">
        <f aca="false">SUMIFS('KOSZTY SZCZEGÓŁOWE'!$W$7:$W$126,'KOSZTY SZCZEGÓŁOWE'!$B$7:$B$126,$A9,'KOSZTY SZCZEGÓŁOWE'!$F$7:$F$126,"ODZYSK")</f>
        <v>0</v>
      </c>
      <c r="F126" s="62" t="n">
        <f aca="false">SUMIFS('KOSZTY SZCZEGÓŁOWE'!$W$7:$W$126,'KOSZTY SZCZEGÓŁOWE'!$B$7:$B$126,$A10,'KOSZTY SZCZEGÓŁOWE'!$F$7:$F$126,"ODZYSK")</f>
        <v>0</v>
      </c>
      <c r="G126" s="62" t="n">
        <f aca="false">SUMIFS('KOSZTY SZCZEGÓŁOWE'!$W$7:$W$126,'KOSZTY SZCZEGÓŁOWE'!$B$7:$B$126,$A11,'KOSZTY SZCZEGÓŁOWE'!$F$7:$F$126,"ODZYSK")</f>
        <v>0</v>
      </c>
      <c r="H126" s="62" t="n">
        <f aca="false">SUMIFS('KOSZTY SZCZEGÓŁOWE'!$W$7:$W$126,'KOSZTY SZCZEGÓŁOWE'!$B$7:$B$126,$A12,'KOSZTY SZCZEGÓŁOWE'!$F$7:$F$126,"ODZYSK")</f>
        <v>0</v>
      </c>
      <c r="I126" s="62" t="n">
        <f aca="false">SUMIFS('KOSZTY SZCZEGÓŁOWE'!$W$7:$W$126,'KOSZTY SZCZEGÓŁOWE'!$B$7:$B$126,$A13,'KOSZTY SZCZEGÓŁOWE'!$F$7:$F$126,"ODZYSK")</f>
        <v>0</v>
      </c>
      <c r="J126" s="62" t="n">
        <f aca="false">SUMIFS('KOSZTY SZCZEGÓŁOWE'!$W$7:$W$126,'KOSZTY SZCZEGÓŁOWE'!$B$7:$B$126,$A14,'KOSZTY SZCZEGÓŁOWE'!$F$7:$F$126,"ODZYSK")</f>
        <v>0</v>
      </c>
    </row>
    <row r="127" customFormat="false" ht="18" hidden="false" customHeight="true" outlineLevel="0" collapsed="false">
      <c r="A127" s="26" t="s">
        <v>373</v>
      </c>
      <c r="B127" s="27" t="s">
        <v>106</v>
      </c>
      <c r="C127" s="35" t="n">
        <f aca="false">SUMIFS('KOSZTY SZCZEGÓŁOWE'!$X$7:$X$126,'KOSZTY SZCZEGÓŁOWE'!$B$7:$B$126,$A7,'KOSZTY SZCZEGÓŁOWE'!$F$7:$F$126,"ODZYSK")</f>
        <v>0</v>
      </c>
      <c r="D127" s="35" t="n">
        <f aca="false">SUMIFS('KOSZTY SZCZEGÓŁOWE'!$X$7:$X$126,'KOSZTY SZCZEGÓŁOWE'!$B$7:$B$126,$A8,'KOSZTY SZCZEGÓŁOWE'!$F$7:$F$126,"ODZYSK")</f>
        <v>0</v>
      </c>
      <c r="E127" s="35" t="n">
        <f aca="false">SUMIFS('KOSZTY SZCZEGÓŁOWE'!$X$7:$X$126,'KOSZTY SZCZEGÓŁOWE'!$B$7:$B$126,$A9,'KOSZTY SZCZEGÓŁOWE'!$F$7:$F$126,"ODZYSK")</f>
        <v>0</v>
      </c>
      <c r="F127" s="35" t="n">
        <f aca="false">SUMIFS('KOSZTY SZCZEGÓŁOWE'!$X$7:$X$126,'KOSZTY SZCZEGÓŁOWE'!$B$7:$B$126,$A10,'KOSZTY SZCZEGÓŁOWE'!$F$7:$F$126,"ODZYSK")</f>
        <v>0</v>
      </c>
      <c r="G127" s="35" t="n">
        <f aca="false">SUMIFS('KOSZTY SZCZEGÓŁOWE'!$X$7:$X$126,'KOSZTY SZCZEGÓŁOWE'!$B$7:$B$126,$A11,'KOSZTY SZCZEGÓŁOWE'!$F$7:$F$126,"ODZYSK")</f>
        <v>0</v>
      </c>
      <c r="H127" s="35" t="n">
        <f aca="false">SUMIFS('KOSZTY SZCZEGÓŁOWE'!$X$7:$X$126,'KOSZTY SZCZEGÓŁOWE'!$B$7:$B$126,$A12,'KOSZTY SZCZEGÓŁOWE'!$F$7:$F$126,"ODZYSK")</f>
        <v>0</v>
      </c>
      <c r="I127" s="35" t="n">
        <f aca="false">SUMIFS('KOSZTY SZCZEGÓŁOWE'!$X$7:$X$126,'KOSZTY SZCZEGÓŁOWE'!$B$7:$B$126,$A13,'KOSZTY SZCZEGÓŁOWE'!$F$7:$F$126,"ODZYSK")</f>
        <v>0</v>
      </c>
      <c r="J127" s="35" t="n">
        <f aca="false">SUMIFS('KOSZTY SZCZEGÓŁOWE'!$X$7:$X$126,'KOSZTY SZCZEGÓŁOWE'!$B$7:$B$126,$A14,'KOSZTY SZCZEGÓŁOWE'!$F$7:$F$126,"ODZYSK")</f>
        <v>0</v>
      </c>
    </row>
    <row r="128" customFormat="false" ht="18" hidden="false" customHeight="true" outlineLevel="0" collapsed="false">
      <c r="A128" s="36" t="s">
        <v>374</v>
      </c>
      <c r="B128" s="27" t="s">
        <v>106</v>
      </c>
      <c r="C128" s="62" t="n">
        <f aca="false">ROUND(C98+C104+C107+C116+C119,2)</f>
        <v>0</v>
      </c>
      <c r="D128" s="62" t="n">
        <f aca="false">ROUND(D98+D104+D107+D116+D119,2)</f>
        <v>0</v>
      </c>
      <c r="E128" s="62" t="n">
        <f aca="false">ROUND(E98+E104+E107+E116+E119,2)</f>
        <v>0</v>
      </c>
      <c r="F128" s="62" t="n">
        <f aca="false">ROUND(F98+F104+F107+F116+F119,2)</f>
        <v>0</v>
      </c>
      <c r="G128" s="62" t="n">
        <f aca="false">ROUND(G98+G104+G107+G116+G119,2)</f>
        <v>0</v>
      </c>
      <c r="H128" s="62" t="n">
        <f aca="false">ROUND(H98+H104+H107+H116+H119,2)</f>
        <v>0</v>
      </c>
      <c r="I128" s="62" t="n">
        <f aca="false">ROUND(I98+I104+I107+I116+I119,2)</f>
        <v>0</v>
      </c>
      <c r="J128" s="62" t="n">
        <f aca="false">ROUND(J98+J104+J107+J116+J119,2)</f>
        <v>0</v>
      </c>
    </row>
    <row r="129" customFormat="false" ht="18" hidden="false" customHeight="true" outlineLevel="0" collapsed="false">
      <c r="A129" s="36" t="s">
        <v>375</v>
      </c>
      <c r="B129" s="27" t="s">
        <v>106</v>
      </c>
      <c r="C129" s="62" t="n">
        <f aca="false">ROUND(C99+C105+C108+C117+C120,2)</f>
        <v>0</v>
      </c>
      <c r="D129" s="62" t="n">
        <f aca="false">ROUND(D99+D105+D108+D117+D120,2)</f>
        <v>0</v>
      </c>
      <c r="E129" s="62" t="n">
        <f aca="false">ROUND(E99+E105+E108+E117+E120,2)</f>
        <v>0</v>
      </c>
      <c r="F129" s="62" t="n">
        <f aca="false">ROUND(F99+F105+F108+F117+F120,2)</f>
        <v>0</v>
      </c>
      <c r="G129" s="62" t="n">
        <f aca="false">ROUND(G99+G105+G108+G117+G120,2)</f>
        <v>0</v>
      </c>
      <c r="H129" s="62" t="n">
        <f aca="false">ROUND(H99+H105+H108+H117+H120,2)</f>
        <v>0</v>
      </c>
      <c r="I129" s="62" t="n">
        <f aca="false">ROUND(I99+I105+I108+I117+I120,2)</f>
        <v>0</v>
      </c>
      <c r="J129" s="62" t="n">
        <f aca="false">ROUND(J99+J105+J108+J117+J120,2)</f>
        <v>0</v>
      </c>
    </row>
    <row r="130" customFormat="false" ht="18" hidden="false" customHeight="true" outlineLevel="0" collapsed="false">
      <c r="A130" s="36" t="s">
        <v>376</v>
      </c>
      <c r="B130" s="27" t="s">
        <v>106</v>
      </c>
      <c r="C130" s="62" t="n">
        <f aca="false">ROUND(C100+C106+C109+C118+C121,2)</f>
        <v>0</v>
      </c>
      <c r="D130" s="62" t="n">
        <f aca="false">ROUND(D100+D106+D109+D118+D121,2)</f>
        <v>0</v>
      </c>
      <c r="E130" s="62" t="n">
        <f aca="false">ROUND(E100+E106+E109+E118+E121,2)</f>
        <v>0</v>
      </c>
      <c r="F130" s="62" t="n">
        <f aca="false">ROUND(F100+F106+F109+F118+F121,2)</f>
        <v>0</v>
      </c>
      <c r="G130" s="62" t="n">
        <f aca="false">ROUND(G100+G106+G109+G118+G121,2)</f>
        <v>0</v>
      </c>
      <c r="H130" s="62" t="n">
        <f aca="false">ROUND(H100+H106+H109+H118+H121,2)</f>
        <v>0</v>
      </c>
      <c r="I130" s="62" t="n">
        <f aca="false">ROUND(I100+I106+I109+I118+I121,2)</f>
        <v>0</v>
      </c>
      <c r="J130" s="62" t="n">
        <f aca="false">ROUND(J100+J106+J109+J118+J121,2)</f>
        <v>0</v>
      </c>
    </row>
    <row r="131" customFormat="false" ht="18" hidden="false" customHeight="true" outlineLevel="0" collapsed="false">
      <c r="A131" s="36" t="s">
        <v>377</v>
      </c>
      <c r="B131" s="27" t="s">
        <v>106</v>
      </c>
      <c r="C131" s="62" t="n">
        <f aca="false">ROUND(C101+C110+C113,2)</f>
        <v>0</v>
      </c>
      <c r="D131" s="62" t="n">
        <f aca="false">ROUND(D101+D110+D113,2)</f>
        <v>0</v>
      </c>
      <c r="E131" s="62" t="n">
        <f aca="false">ROUND(E101+E110+E113,2)</f>
        <v>0</v>
      </c>
      <c r="F131" s="62" t="n">
        <f aca="false">ROUND(F101+F110+F113,2)</f>
        <v>0</v>
      </c>
      <c r="G131" s="62" t="n">
        <f aca="false">ROUND(G101+G110+G113,2)</f>
        <v>0</v>
      </c>
      <c r="H131" s="62" t="n">
        <f aca="false">ROUND(H101+H110+H113,2)</f>
        <v>0</v>
      </c>
      <c r="I131" s="62" t="n">
        <f aca="false">ROUND(I101+I110+I113,2)</f>
        <v>0</v>
      </c>
      <c r="J131" s="62" t="n">
        <f aca="false">ROUND(J101+J110+J113,2)</f>
        <v>0</v>
      </c>
    </row>
    <row r="132" customFormat="false" ht="18" hidden="false" customHeight="true" outlineLevel="0" collapsed="false">
      <c r="A132" s="36" t="s">
        <v>378</v>
      </c>
      <c r="B132" s="27" t="s">
        <v>106</v>
      </c>
      <c r="C132" s="62" t="n">
        <f aca="false">ROUND(C102+C111+C114,2)</f>
        <v>0</v>
      </c>
      <c r="D132" s="62" t="n">
        <f aca="false">ROUND(D102+D111+D114,2)</f>
        <v>0</v>
      </c>
      <c r="E132" s="62" t="n">
        <f aca="false">ROUND(E102+E111+E114,2)</f>
        <v>0</v>
      </c>
      <c r="F132" s="62" t="n">
        <f aca="false">ROUND(F102+F111+F114,2)</f>
        <v>0</v>
      </c>
      <c r="G132" s="62" t="n">
        <f aca="false">ROUND(G102+G111+G114,2)</f>
        <v>0</v>
      </c>
      <c r="H132" s="62" t="n">
        <f aca="false">ROUND(H102+H111+H114,2)</f>
        <v>0</v>
      </c>
      <c r="I132" s="62" t="n">
        <f aca="false">ROUND(I102+I111+I114,2)</f>
        <v>0</v>
      </c>
      <c r="J132" s="62" t="n">
        <f aca="false">ROUND(J102+J111+J114,2)</f>
        <v>0</v>
      </c>
    </row>
    <row r="133" customFormat="false" ht="18" hidden="false" customHeight="true" outlineLevel="0" collapsed="false">
      <c r="A133" s="36" t="s">
        <v>379</v>
      </c>
      <c r="B133" s="27" t="s">
        <v>106</v>
      </c>
      <c r="C133" s="62" t="n">
        <f aca="false">ROUND(C103+C112+C115,2)</f>
        <v>0</v>
      </c>
      <c r="D133" s="62" t="n">
        <f aca="false">ROUND(D103+D112+D115,2)</f>
        <v>0</v>
      </c>
      <c r="E133" s="62" t="n">
        <f aca="false">ROUND(E103+E112+E115,2)</f>
        <v>0</v>
      </c>
      <c r="F133" s="62" t="n">
        <f aca="false">ROUND(F103+F112+F115,2)</f>
        <v>0</v>
      </c>
      <c r="G133" s="62" t="n">
        <f aca="false">ROUND(G103+G112+G115,2)</f>
        <v>0</v>
      </c>
      <c r="H133" s="62" t="n">
        <f aca="false">ROUND(H103+H112+H115,2)</f>
        <v>0</v>
      </c>
      <c r="I133" s="62" t="n">
        <f aca="false">ROUND(I103+I112+I115,2)</f>
        <v>0</v>
      </c>
      <c r="J133" s="62" t="n">
        <f aca="false">ROUND(J103+J112+J115,2)</f>
        <v>0</v>
      </c>
    </row>
    <row r="134" customFormat="false" ht="18" hidden="false" customHeight="true" outlineLevel="0" collapsed="false">
      <c r="A134" s="36" t="s">
        <v>380</v>
      </c>
      <c r="B134" s="27" t="s">
        <v>106</v>
      </c>
      <c r="C134" s="62" t="n">
        <f aca="false">ROUND(C104+C116+C119,2)</f>
        <v>0</v>
      </c>
      <c r="D134" s="62" t="n">
        <f aca="false">ROUND(D104+D116+D119,2)</f>
        <v>0</v>
      </c>
      <c r="E134" s="62" t="n">
        <f aca="false">ROUND(E104+E116+E119,2)</f>
        <v>0</v>
      </c>
      <c r="F134" s="62" t="n">
        <f aca="false">ROUND(F104+F116+F119,2)</f>
        <v>0</v>
      </c>
      <c r="G134" s="62" t="n">
        <f aca="false">ROUND(G104+G116+G119,2)</f>
        <v>0</v>
      </c>
      <c r="H134" s="62" t="n">
        <f aca="false">ROUND(H104+H116+H119,2)</f>
        <v>0</v>
      </c>
      <c r="I134" s="62" t="n">
        <f aca="false">ROUND(I104+I116+I119,2)</f>
        <v>0</v>
      </c>
      <c r="J134" s="62" t="n">
        <f aca="false">ROUND(J104+J116+J119,2)</f>
        <v>0</v>
      </c>
    </row>
    <row r="135" customFormat="false" ht="18" hidden="false" customHeight="true" outlineLevel="0" collapsed="false">
      <c r="A135" s="36" t="s">
        <v>381</v>
      </c>
      <c r="B135" s="27" t="s">
        <v>106</v>
      </c>
      <c r="C135" s="62" t="n">
        <f aca="false">ROUND(C105+C117+C120,2)</f>
        <v>0</v>
      </c>
      <c r="D135" s="62" t="n">
        <f aca="false">ROUND(D105+D117+D120,2)</f>
        <v>0</v>
      </c>
      <c r="E135" s="62" t="n">
        <f aca="false">ROUND(E105+E117+E120,2)</f>
        <v>0</v>
      </c>
      <c r="F135" s="62" t="n">
        <f aca="false">ROUND(F105+F117+F120,2)</f>
        <v>0</v>
      </c>
      <c r="G135" s="62" t="n">
        <f aca="false">ROUND(G105+G117+G120,2)</f>
        <v>0</v>
      </c>
      <c r="H135" s="62" t="n">
        <f aca="false">ROUND(H105+H117+H120,2)</f>
        <v>0</v>
      </c>
      <c r="I135" s="62" t="n">
        <f aca="false">ROUND(I105+I117+I120,2)</f>
        <v>0</v>
      </c>
      <c r="J135" s="62" t="n">
        <f aca="false">ROUND(J105+J117+J120,2)</f>
        <v>0</v>
      </c>
    </row>
    <row r="136" customFormat="false" ht="18" hidden="false" customHeight="true" outlineLevel="0" collapsed="false">
      <c r="A136" s="36" t="s">
        <v>382</v>
      </c>
      <c r="B136" s="27" t="s">
        <v>106</v>
      </c>
      <c r="C136" s="62" t="n">
        <f aca="false">ROUND(C106+C118+C121,2)</f>
        <v>0</v>
      </c>
      <c r="D136" s="62" t="n">
        <f aca="false">ROUND(D106+D118+D121,2)</f>
        <v>0</v>
      </c>
      <c r="E136" s="62" t="n">
        <f aca="false">ROUND(E106+E118+E121,2)</f>
        <v>0</v>
      </c>
      <c r="F136" s="62" t="n">
        <f aca="false">ROUND(F106+F118+F121,2)</f>
        <v>0</v>
      </c>
      <c r="G136" s="62" t="n">
        <f aca="false">ROUND(G106+G118+G121,2)</f>
        <v>0</v>
      </c>
      <c r="H136" s="62" t="n">
        <f aca="false">ROUND(H106+H118+H121,2)</f>
        <v>0</v>
      </c>
      <c r="I136" s="62" t="n">
        <f aca="false">ROUND(I106+I118+I121,2)</f>
        <v>0</v>
      </c>
      <c r="J136" s="62" t="n">
        <f aca="false">ROUND(J106+J118+J121,2)</f>
        <v>0</v>
      </c>
    </row>
    <row r="137" customFormat="false" ht="18" hidden="false" customHeight="true" outlineLevel="0" collapsed="false">
      <c r="A137" s="26" t="s">
        <v>383</v>
      </c>
      <c r="B137" s="27" t="s">
        <v>106</v>
      </c>
      <c r="C137" s="35" t="n">
        <f aca="false">ROUND(C99,2)</f>
        <v>0</v>
      </c>
      <c r="D137" s="35" t="n">
        <f aca="false">ROUND(D99,2)</f>
        <v>0</v>
      </c>
      <c r="E137" s="35" t="n">
        <f aca="false">ROUND(E99,2)</f>
        <v>0</v>
      </c>
      <c r="F137" s="35" t="n">
        <f aca="false">ROUND(F99,2)</f>
        <v>0</v>
      </c>
      <c r="G137" s="35" t="n">
        <f aca="false">ROUND(G99,2)</f>
        <v>0</v>
      </c>
      <c r="H137" s="35" t="n">
        <f aca="false">ROUND(H99,2)</f>
        <v>0</v>
      </c>
      <c r="I137" s="35" t="n">
        <f aca="false">ROUND(I99,2)</f>
        <v>0</v>
      </c>
      <c r="J137" s="35" t="n">
        <f aca="false">ROUND(J99,2)</f>
        <v>0</v>
      </c>
    </row>
    <row r="138" customFormat="false" ht="18" hidden="false" customHeight="true" outlineLevel="0" collapsed="false">
      <c r="A138" s="26" t="s">
        <v>384</v>
      </c>
      <c r="B138" s="27" t="s">
        <v>106</v>
      </c>
      <c r="C138" s="35" t="n">
        <f aca="false">ROUND(C129-C99,2)</f>
        <v>0</v>
      </c>
      <c r="D138" s="35" t="n">
        <f aca="false">ROUND(D129-D99,2)</f>
        <v>0</v>
      </c>
      <c r="E138" s="35" t="n">
        <f aca="false">ROUND(E129-E99,2)</f>
        <v>0</v>
      </c>
      <c r="F138" s="35" t="n">
        <f aca="false">ROUND(F129-F99,2)</f>
        <v>0</v>
      </c>
      <c r="G138" s="35" t="n">
        <f aca="false">ROUND(G129-G99,2)</f>
        <v>0</v>
      </c>
      <c r="H138" s="35" t="n">
        <f aca="false">ROUND(H129-H99,2)</f>
        <v>0</v>
      </c>
      <c r="I138" s="35" t="n">
        <f aca="false">ROUND(I129-I99,2)</f>
        <v>0</v>
      </c>
      <c r="J138" s="35" t="n">
        <f aca="false">ROUND(J129-J99,2)</f>
        <v>0</v>
      </c>
    </row>
    <row r="139" customFormat="false" ht="18" hidden="false" customHeight="true" outlineLevel="0" collapsed="false">
      <c r="A139" s="36" t="s">
        <v>385</v>
      </c>
      <c r="B139" s="27" t="s">
        <v>386</v>
      </c>
      <c r="C139" s="62" t="n">
        <f aca="false">IF($E7&lt;&gt;"TAK",0,ROUND(C128*$G7,2))</f>
        <v>0</v>
      </c>
      <c r="D139" s="62" t="n">
        <f aca="false">IF($E8&lt;&gt;"TAK",0,ROUND(D128*$G8,2))</f>
        <v>0</v>
      </c>
      <c r="E139" s="62" t="n">
        <f aca="false">IF($E9&lt;&gt;"TAK",0,ROUND(E128*$G9,2))</f>
        <v>0</v>
      </c>
      <c r="F139" s="62" t="n">
        <f aca="false">IF($E10&lt;&gt;"TAK",0,ROUND(F128*$G10,2))</f>
        <v>0</v>
      </c>
      <c r="G139" s="62" t="n">
        <f aca="false">IF($E11&lt;&gt;"TAK",0,ROUND(G128*$G11,2))</f>
        <v>0</v>
      </c>
      <c r="H139" s="62" t="n">
        <f aca="false">IF($E12&lt;&gt;"TAK",0,ROUND(H128*$G12,2))</f>
        <v>0</v>
      </c>
      <c r="I139" s="62" t="n">
        <f aca="false">IF($E13&lt;&gt;"TAK",0,ROUND(I128*$G13,2))</f>
        <v>0</v>
      </c>
      <c r="J139" s="62" t="n">
        <f aca="false">IF($E14&lt;&gt;"TAK",0,ROUND(J128*$G14,2))</f>
        <v>0</v>
      </c>
    </row>
    <row r="140" customFormat="false" ht="18" hidden="false" customHeight="true" outlineLevel="0" collapsed="false">
      <c r="A140" s="36" t="s">
        <v>387</v>
      </c>
      <c r="B140" s="27" t="s">
        <v>386</v>
      </c>
      <c r="C140" s="62" t="n">
        <f aca="false">IF($E7&lt;&gt;"TAK",0,ROUND(C129*$H7,2))</f>
        <v>0</v>
      </c>
      <c r="D140" s="62" t="n">
        <f aca="false">IF($E8&lt;&gt;"TAK",0,ROUND(D129*$H8,2))</f>
        <v>0</v>
      </c>
      <c r="E140" s="62" t="n">
        <f aca="false">IF($E9&lt;&gt;"TAK",0,ROUND(E129*$H9,2))</f>
        <v>0</v>
      </c>
      <c r="F140" s="62" t="n">
        <f aca="false">IF($E10&lt;&gt;"TAK",0,ROUND(F129*$H10,2))</f>
        <v>0</v>
      </c>
      <c r="G140" s="62" t="n">
        <f aca="false">IF($E11&lt;&gt;"TAK",0,ROUND(G129*$H11,2))</f>
        <v>0</v>
      </c>
      <c r="H140" s="62" t="n">
        <f aca="false">IF($E12&lt;&gt;"TAK",0,ROUND(H129*$H12,2))</f>
        <v>0</v>
      </c>
      <c r="I140" s="62" t="n">
        <f aca="false">IF($E13&lt;&gt;"TAK",0,ROUND(I129*$H13,2))</f>
        <v>0</v>
      </c>
      <c r="J140" s="62" t="n">
        <f aca="false">IF($E14&lt;&gt;"TAK",0,ROUND(J129*$H14,2))</f>
        <v>0</v>
      </c>
    </row>
    <row r="141" customFormat="false" ht="18" hidden="false" customHeight="true" outlineLevel="0" collapsed="false">
      <c r="A141" s="36" t="s">
        <v>388</v>
      </c>
      <c r="B141" s="27" t="s">
        <v>386</v>
      </c>
      <c r="C141" s="62" t="n">
        <f aca="false">IF($E7&lt;&gt;"TAK",0,ROUND(C130*$I7,2))</f>
        <v>0</v>
      </c>
      <c r="D141" s="62" t="n">
        <f aca="false">IF($E8&lt;&gt;"TAK",0,ROUND(D130*$I8,2))</f>
        <v>0</v>
      </c>
      <c r="E141" s="62" t="n">
        <f aca="false">IF($E9&lt;&gt;"TAK",0,ROUND(E130*$I9,2))</f>
        <v>0</v>
      </c>
      <c r="F141" s="62" t="n">
        <f aca="false">IF($E10&lt;&gt;"TAK",0,ROUND(F130*$I10,2))</f>
        <v>0</v>
      </c>
      <c r="G141" s="62" t="n">
        <f aca="false">IF($E11&lt;&gt;"TAK",0,ROUND(G130*$I11,2))</f>
        <v>0</v>
      </c>
      <c r="H141" s="62" t="n">
        <f aca="false">IF($E12&lt;&gt;"TAK",0,ROUND(H130*$I12,2))</f>
        <v>0</v>
      </c>
      <c r="I141" s="62" t="n">
        <f aca="false">IF($E13&lt;&gt;"TAK",0,ROUND(I130*$I13,2))</f>
        <v>0</v>
      </c>
      <c r="J141" s="62" t="n">
        <f aca="false">IF($E14&lt;&gt;"TAK",0,ROUND(J130*$I14,2))</f>
        <v>0</v>
      </c>
    </row>
    <row r="143" customFormat="false" ht="30" hidden="false" customHeight="true" outlineLevel="0" collapsed="false">
      <c r="A143" s="44" t="s">
        <v>389</v>
      </c>
      <c r="B143" s="44"/>
      <c r="C143" s="44"/>
      <c r="D143" s="44"/>
      <c r="E143" s="44"/>
      <c r="F143" s="44"/>
      <c r="G143" s="44"/>
      <c r="H143" s="44"/>
      <c r="I143" s="44"/>
      <c r="J143" s="44"/>
    </row>
  </sheetData>
  <mergeCells count="4">
    <mergeCell ref="A2:J2"/>
    <mergeCell ref="A3:J3"/>
    <mergeCell ref="A31:J31"/>
    <mergeCell ref="A143:J143"/>
  </mergeCells>
  <dataValidations count="7">
    <dataValidation allowBlank="true" error="Wybierz wartość z listy." errorStyle="stop" errorTitle="Wartość spoza listy" operator="between" showDropDown="false" showErrorMessage="false" showInputMessage="false" sqref="C7:C14" type="list">
      <formula1>'LISTY POMOCNICZE'!$E$8:$E$19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E7:E14" type="list">
      <formula1>'LISTY POMOCNICZE'!$I$8:$I$9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F7:F14" type="list">
      <formula1>'LISTY POMOCNICZE'!$J$8:$J$9</formula1>
      <formula2>0</formula2>
    </dataValidation>
    <dataValidation allowBlank="true" error="Podaj liczbę nie mniejszą niż 0." errorStyle="stop" errorTitle="Wartość nieprawidłowa" operator="greaterThanOrEqual" showDropDown="false" showErrorMessage="false" showInputMessage="false" sqref="G7:I14" type="decimal">
      <formula1>0</formula1>
      <formula2>0</formula2>
    </dataValidation>
    <dataValidation allowBlank="true" error="Podaj wartość od 0% do 100%." errorStyle="stop" errorTitle="Procent poza zakresem" operator="between" showDropDown="false" showErrorMessage="false" showInputMessage="false" sqref="C19:J30" type="decimal">
      <formula1>0</formula1>
      <formula2>1</formula2>
    </dataValidation>
    <dataValidation allowBlank="true" error="Podaj liczbę nie mniejszą niż 0." errorStyle="stop" errorTitle="Wartość nieprawidłowa" operator="greaterThanOrEqual" showDropDown="false" showErrorMessage="false" showInputMessage="false" sqref="D34:F89" type="decimal">
      <formula1>0</formula1>
      <formula2>0</formula2>
    </dataValidation>
    <dataValidation allowBlank="true" error="Podaj wartość od 0% do 100%." errorStyle="stop" errorTitle="Procent poza zakresem" operator="between" showDropDown="false" showErrorMessage="false" showInputMessage="false" sqref="G34:H89" type="decimal">
      <formula1>0</formula1>
      <formula2>1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false"/>
  </sheetPr>
  <dimension ref="A1:X1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6" topLeftCell="E7" activePane="bottomRight" state="frozen"/>
      <selection pane="topLeft" activeCell="A1" activeCellId="0" sqref="A1"/>
      <selection pane="topRight" activeCell="E1" activeCellId="0" sqref="E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1"/>
    <col collapsed="false" customWidth="true" hidden="false" outlineLevel="0" max="3" min="3" style="0" width="12"/>
    <col collapsed="false" customWidth="true" hidden="false" outlineLevel="0" max="4" min="4" style="0" width="26"/>
    <col collapsed="false" customWidth="true" hidden="false" outlineLevel="0" max="5" min="5" style="0" width="42"/>
    <col collapsed="false" customWidth="true" hidden="false" outlineLevel="0" max="6" min="6" style="0" width="13"/>
    <col collapsed="false" customWidth="true" hidden="false" outlineLevel="0" max="7" min="7" style="0" width="22"/>
    <col collapsed="false" customWidth="true" hidden="false" outlineLevel="0" max="11" min="8" style="0" width="11"/>
    <col collapsed="false" customWidth="true" hidden="false" outlineLevel="0" max="14" min="12" style="0" width="12"/>
    <col collapsed="false" customWidth="true" hidden="false" outlineLevel="0" max="15" min="15" style="0" width="18"/>
    <col collapsed="false" customWidth="true" hidden="false" outlineLevel="0" max="16" min="16" style="0" width="22"/>
    <col collapsed="false" customWidth="true" hidden="false" outlineLevel="0" max="17" min="17" style="0" width="10"/>
    <col collapsed="false" customWidth="true" hidden="false" outlineLevel="0" max="18" min="18" style="0" width="18"/>
    <col collapsed="false" customWidth="true" hidden="false" outlineLevel="0" max="19" min="19" style="0" width="14"/>
    <col collapsed="false" customWidth="true" hidden="false" outlineLevel="0" max="20" min="20" style="0" width="12"/>
    <col collapsed="false" customWidth="true" hidden="false" outlineLevel="0" max="21" min="21" style="0" width="30"/>
    <col collapsed="false" customWidth="true" hidden="false" outlineLevel="0" max="24" min="22" style="0" width="14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390</v>
      </c>
      <c r="B2" s="22"/>
      <c r="C2" s="22"/>
      <c r="D2" s="22"/>
      <c r="E2" s="22"/>
      <c r="F2" s="22"/>
      <c r="G2" s="22"/>
      <c r="H2" s="22"/>
    </row>
    <row r="3" customFormat="false" ht="56.25" hidden="false" customHeight="true" outlineLevel="0" collapsed="false">
      <c r="A3" s="23" t="s">
        <v>391</v>
      </c>
      <c r="B3" s="23"/>
      <c r="C3" s="23"/>
      <c r="D3" s="23"/>
      <c r="E3" s="23"/>
      <c r="F3" s="23"/>
      <c r="G3" s="23"/>
      <c r="H3" s="23"/>
    </row>
    <row r="4" customFormat="false" ht="30" hidden="false" customHeight="true" outlineLevel="0" collapsed="false">
      <c r="A4" s="44" t="s">
        <v>392</v>
      </c>
      <c r="B4" s="44"/>
      <c r="C4" s="44"/>
      <c r="D4" s="44"/>
      <c r="E4" s="44"/>
      <c r="F4" s="44"/>
      <c r="G4" s="44"/>
      <c r="H4" s="44"/>
    </row>
    <row r="5" customFormat="false" ht="19.5" hidden="false" customHeight="true" outlineLevel="0" collapsed="false">
      <c r="A5" s="4" t="s">
        <v>393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customFormat="false" ht="42" hidden="false" customHeight="true" outlineLevel="0" collapsed="false">
      <c r="A6" s="24" t="s">
        <v>394</v>
      </c>
      <c r="B6" s="24" t="s">
        <v>319</v>
      </c>
      <c r="C6" s="24" t="s">
        <v>395</v>
      </c>
      <c r="D6" s="24" t="s">
        <v>396</v>
      </c>
      <c r="E6" s="24" t="s">
        <v>397</v>
      </c>
      <c r="F6" s="24" t="s">
        <v>398</v>
      </c>
      <c r="G6" s="24" t="s">
        <v>399</v>
      </c>
      <c r="H6" s="24" t="s">
        <v>400</v>
      </c>
      <c r="I6" s="24" t="s">
        <v>401</v>
      </c>
      <c r="J6" s="24" t="s">
        <v>402</v>
      </c>
      <c r="K6" s="24" t="s">
        <v>403</v>
      </c>
      <c r="L6" s="24" t="s">
        <v>404</v>
      </c>
      <c r="M6" s="24" t="s">
        <v>405</v>
      </c>
      <c r="N6" s="24" t="s">
        <v>406</v>
      </c>
      <c r="O6" s="24" t="s">
        <v>138</v>
      </c>
      <c r="P6" s="24" t="s">
        <v>407</v>
      </c>
      <c r="Q6" s="24" t="s">
        <v>408</v>
      </c>
      <c r="R6" s="24" t="s">
        <v>409</v>
      </c>
      <c r="S6" s="24" t="s">
        <v>410</v>
      </c>
      <c r="T6" s="24" t="s">
        <v>411</v>
      </c>
      <c r="U6" s="24" t="s">
        <v>412</v>
      </c>
      <c r="V6" s="24" t="s">
        <v>413</v>
      </c>
      <c r="W6" s="24" t="s">
        <v>414</v>
      </c>
      <c r="X6" s="24" t="s">
        <v>415</v>
      </c>
    </row>
    <row r="7" customFormat="false" ht="18" hidden="false" customHeight="true" outlineLevel="0" collapsed="false">
      <c r="A7" s="25" t="s">
        <v>416</v>
      </c>
      <c r="B7" s="33"/>
      <c r="C7" s="33"/>
      <c r="D7" s="33" t="s">
        <v>417</v>
      </c>
      <c r="E7" s="33" t="s">
        <v>418</v>
      </c>
      <c r="F7" s="33" t="s">
        <v>419</v>
      </c>
      <c r="G7" s="33" t="s">
        <v>420</v>
      </c>
      <c r="H7" s="33" t="s">
        <v>75</v>
      </c>
      <c r="I7" s="30"/>
      <c r="J7" s="30"/>
      <c r="K7" s="30"/>
      <c r="L7" s="30"/>
      <c r="M7" s="30"/>
      <c r="N7" s="30"/>
      <c r="O7" s="33" t="s">
        <v>142</v>
      </c>
      <c r="P7" s="33"/>
      <c r="Q7" s="33"/>
      <c r="R7" s="33"/>
      <c r="S7" s="33" t="s">
        <v>421</v>
      </c>
      <c r="T7" s="33" t="s">
        <v>422</v>
      </c>
      <c r="U7" s="33"/>
      <c r="V7" s="35" t="n">
        <f aca="false">IF($T7&lt;&gt;"TAK",0,IF($O7="NIEPOLICZONE",0,IFERROR(ROUND(IF($I7="",$J7,$I7)*IF($L7="",$M7,$L7),2),0)))</f>
        <v>0</v>
      </c>
      <c r="W7" s="46" t="n">
        <f aca="false">IF($T7&lt;&gt;"TAK",0,IF($O7="NIEPOLICZONE",0,IFERROR(ROUND($J7*$M7,2),0)))</f>
        <v>0</v>
      </c>
      <c r="X7" s="35" t="n">
        <f aca="false">IF($T7&lt;&gt;"TAK",0,IF($O7="NIEPOLICZONE",0,IFERROR(ROUND(IF($K7="",$J7,$K7)*IF($N7="",$M7,$N7),2),0)))</f>
        <v>0</v>
      </c>
    </row>
    <row r="8" customFormat="false" ht="18" hidden="false" customHeight="true" outlineLevel="0" collapsed="false">
      <c r="A8" s="25" t="s">
        <v>423</v>
      </c>
      <c r="B8" s="33"/>
      <c r="C8" s="33"/>
      <c r="D8" s="33" t="s">
        <v>417</v>
      </c>
      <c r="E8" s="33" t="s">
        <v>424</v>
      </c>
      <c r="F8" s="33" t="s">
        <v>425</v>
      </c>
      <c r="G8" s="33" t="s">
        <v>420</v>
      </c>
      <c r="H8" s="33" t="s">
        <v>75</v>
      </c>
      <c r="I8" s="30"/>
      <c r="J8" s="30"/>
      <c r="K8" s="30"/>
      <c r="L8" s="30"/>
      <c r="M8" s="30"/>
      <c r="N8" s="30"/>
      <c r="O8" s="33" t="s">
        <v>142</v>
      </c>
      <c r="P8" s="33"/>
      <c r="Q8" s="33"/>
      <c r="R8" s="33"/>
      <c r="S8" s="33" t="s">
        <v>421</v>
      </c>
      <c r="T8" s="33" t="s">
        <v>422</v>
      </c>
      <c r="U8" s="33"/>
      <c r="V8" s="35" t="n">
        <f aca="false">IF($T8&lt;&gt;"TAK",0,IF($O8="NIEPOLICZONE",0,IFERROR(ROUND(IF($I8="",$J8,$I8)*IF($L8="",$M8,$L8),2),0)))</f>
        <v>0</v>
      </c>
      <c r="W8" s="46" t="n">
        <f aca="false">IF($T8&lt;&gt;"TAK",0,IF($O8="NIEPOLICZONE",0,IFERROR(ROUND($J8*$M8,2),0)))</f>
        <v>0</v>
      </c>
      <c r="X8" s="35" t="n">
        <f aca="false">IF($T8&lt;&gt;"TAK",0,IF($O8="NIEPOLICZONE",0,IFERROR(ROUND(IF($K8="",$J8,$K8)*IF($N8="",$M8,$N8),2),0)))</f>
        <v>0</v>
      </c>
    </row>
    <row r="9" customFormat="false" ht="18" hidden="false" customHeight="true" outlineLevel="0" collapsed="false">
      <c r="A9" s="25" t="s">
        <v>426</v>
      </c>
      <c r="B9" s="33"/>
      <c r="C9" s="33"/>
      <c r="D9" s="33" t="s">
        <v>417</v>
      </c>
      <c r="E9" s="33" t="s">
        <v>427</v>
      </c>
      <c r="F9" s="33" t="s">
        <v>419</v>
      </c>
      <c r="G9" s="33" t="s">
        <v>428</v>
      </c>
      <c r="H9" s="33" t="s">
        <v>75</v>
      </c>
      <c r="I9" s="30"/>
      <c r="J9" s="30"/>
      <c r="K9" s="30"/>
      <c r="L9" s="30"/>
      <c r="M9" s="30"/>
      <c r="N9" s="30"/>
      <c r="O9" s="33" t="s">
        <v>142</v>
      </c>
      <c r="P9" s="33"/>
      <c r="Q9" s="33"/>
      <c r="R9" s="33"/>
      <c r="S9" s="33" t="s">
        <v>421</v>
      </c>
      <c r="T9" s="33" t="s">
        <v>422</v>
      </c>
      <c r="U9" s="33"/>
      <c r="V9" s="35" t="n">
        <f aca="false">IF($T9&lt;&gt;"TAK",0,IF($O9="NIEPOLICZONE",0,IFERROR(ROUND(IF($I9="",$J9,$I9)*IF($L9="",$M9,$L9),2),0)))</f>
        <v>0</v>
      </c>
      <c r="W9" s="46" t="n">
        <f aca="false">IF($T9&lt;&gt;"TAK",0,IF($O9="NIEPOLICZONE",0,IFERROR(ROUND($J9*$M9,2),0)))</f>
        <v>0</v>
      </c>
      <c r="X9" s="35" t="n">
        <f aca="false">IF($T9&lt;&gt;"TAK",0,IF($O9="NIEPOLICZONE",0,IFERROR(ROUND(IF($K9="",$J9,$K9)*IF($N9="",$M9,$N9),2),0)))</f>
        <v>0</v>
      </c>
    </row>
    <row r="10" customFormat="false" ht="18" hidden="false" customHeight="true" outlineLevel="0" collapsed="false">
      <c r="A10" s="25" t="s">
        <v>429</v>
      </c>
      <c r="B10" s="33"/>
      <c r="C10" s="33"/>
      <c r="D10" s="33" t="s">
        <v>430</v>
      </c>
      <c r="E10" s="33" t="s">
        <v>431</v>
      </c>
      <c r="F10" s="33" t="s">
        <v>432</v>
      </c>
      <c r="G10" s="33" t="s">
        <v>433</v>
      </c>
      <c r="H10" s="33" t="s">
        <v>106</v>
      </c>
      <c r="I10" s="30"/>
      <c r="J10" s="30"/>
      <c r="K10" s="30"/>
      <c r="L10" s="30"/>
      <c r="M10" s="30"/>
      <c r="N10" s="30"/>
      <c r="O10" s="33" t="s">
        <v>142</v>
      </c>
      <c r="P10" s="33"/>
      <c r="Q10" s="33"/>
      <c r="R10" s="33"/>
      <c r="S10" s="33" t="s">
        <v>421</v>
      </c>
      <c r="T10" s="33" t="s">
        <v>422</v>
      </c>
      <c r="U10" s="33"/>
      <c r="V10" s="35" t="n">
        <f aca="false">IF($T10&lt;&gt;"TAK",0,IF($O10="NIEPOLICZONE",0,IFERROR(ROUND(IF($I10="",$J10,$I10)*IF($L10="",$M10,$L10),2),0)))</f>
        <v>0</v>
      </c>
      <c r="W10" s="46" t="n">
        <f aca="false">IF($T10&lt;&gt;"TAK",0,IF($O10="NIEPOLICZONE",0,IFERROR(ROUND($J10*$M10,2),0)))</f>
        <v>0</v>
      </c>
      <c r="X10" s="35" t="n">
        <f aca="false">IF($T10&lt;&gt;"TAK",0,IF($O10="NIEPOLICZONE",0,IFERROR(ROUND(IF($K10="",$J10,$K10)*IF($N10="",$M10,$N10),2),0)))</f>
        <v>0</v>
      </c>
    </row>
    <row r="11" customFormat="false" ht="18" hidden="false" customHeight="true" outlineLevel="0" collapsed="false">
      <c r="A11" s="25" t="s">
        <v>434</v>
      </c>
      <c r="B11" s="33"/>
      <c r="C11" s="33"/>
      <c r="D11" s="33" t="s">
        <v>430</v>
      </c>
      <c r="E11" s="33" t="s">
        <v>435</v>
      </c>
      <c r="F11" s="33" t="s">
        <v>419</v>
      </c>
      <c r="G11" s="33" t="s">
        <v>433</v>
      </c>
      <c r="H11" s="33" t="s">
        <v>106</v>
      </c>
      <c r="I11" s="30"/>
      <c r="J11" s="30"/>
      <c r="K11" s="30"/>
      <c r="L11" s="30"/>
      <c r="M11" s="30"/>
      <c r="N11" s="30"/>
      <c r="O11" s="33" t="s">
        <v>142</v>
      </c>
      <c r="P11" s="33"/>
      <c r="Q11" s="33"/>
      <c r="R11" s="33"/>
      <c r="S11" s="33" t="s">
        <v>421</v>
      </c>
      <c r="T11" s="33" t="s">
        <v>422</v>
      </c>
      <c r="U11" s="33"/>
      <c r="V11" s="35" t="n">
        <f aca="false">IF($T11&lt;&gt;"TAK",0,IF($O11="NIEPOLICZONE",0,IFERROR(ROUND(IF($I11="",$J11,$I11)*IF($L11="",$M11,$L11),2),0)))</f>
        <v>0</v>
      </c>
      <c r="W11" s="46" t="n">
        <f aca="false">IF($T11&lt;&gt;"TAK",0,IF($O11="NIEPOLICZONE",0,IFERROR(ROUND($J11*$M11,2),0)))</f>
        <v>0</v>
      </c>
      <c r="X11" s="35" t="n">
        <f aca="false">IF($T11&lt;&gt;"TAK",0,IF($O11="NIEPOLICZONE",0,IFERROR(ROUND(IF($K11="",$J11,$K11)*IF($N11="",$M11,$N11),2),0)))</f>
        <v>0</v>
      </c>
    </row>
    <row r="12" customFormat="false" ht="18" hidden="false" customHeight="true" outlineLevel="0" collapsed="false">
      <c r="A12" s="25" t="s">
        <v>436</v>
      </c>
      <c r="B12" s="33"/>
      <c r="C12" s="33"/>
      <c r="D12" s="33" t="s">
        <v>430</v>
      </c>
      <c r="E12" s="33" t="s">
        <v>437</v>
      </c>
      <c r="F12" s="33" t="s">
        <v>419</v>
      </c>
      <c r="G12" s="33" t="s">
        <v>438</v>
      </c>
      <c r="H12" s="33" t="s">
        <v>106</v>
      </c>
      <c r="I12" s="30"/>
      <c r="J12" s="30"/>
      <c r="K12" s="30"/>
      <c r="L12" s="30"/>
      <c r="M12" s="30"/>
      <c r="N12" s="30"/>
      <c r="O12" s="33" t="s">
        <v>142</v>
      </c>
      <c r="P12" s="33"/>
      <c r="Q12" s="33"/>
      <c r="R12" s="33"/>
      <c r="S12" s="33" t="s">
        <v>421</v>
      </c>
      <c r="T12" s="33" t="s">
        <v>422</v>
      </c>
      <c r="U12" s="33"/>
      <c r="V12" s="35" t="n">
        <f aca="false">IF($T12&lt;&gt;"TAK",0,IF($O12="NIEPOLICZONE",0,IFERROR(ROUND(IF($I12="",$J12,$I12)*IF($L12="",$M12,$L12),2),0)))</f>
        <v>0</v>
      </c>
      <c r="W12" s="46" t="n">
        <f aca="false">IF($T12&lt;&gt;"TAK",0,IF($O12="NIEPOLICZONE",0,IFERROR(ROUND($J12*$M12,2),0)))</f>
        <v>0</v>
      </c>
      <c r="X12" s="35" t="n">
        <f aca="false">IF($T12&lt;&gt;"TAK",0,IF($O12="NIEPOLICZONE",0,IFERROR(ROUND(IF($K12="",$J12,$K12)*IF($N12="",$M12,$N12),2),0)))</f>
        <v>0</v>
      </c>
    </row>
    <row r="13" customFormat="false" ht="18" hidden="false" customHeight="true" outlineLevel="0" collapsed="false">
      <c r="A13" s="25" t="s">
        <v>439</v>
      </c>
      <c r="B13" s="33"/>
      <c r="C13" s="33"/>
      <c r="D13" s="33" t="s">
        <v>440</v>
      </c>
      <c r="E13" s="33" t="s">
        <v>441</v>
      </c>
      <c r="F13" s="33" t="s">
        <v>432</v>
      </c>
      <c r="G13" s="33" t="s">
        <v>428</v>
      </c>
      <c r="H13" s="33" t="s">
        <v>155</v>
      </c>
      <c r="I13" s="30"/>
      <c r="J13" s="30"/>
      <c r="K13" s="30"/>
      <c r="L13" s="30"/>
      <c r="M13" s="30"/>
      <c r="N13" s="30"/>
      <c r="O13" s="33" t="s">
        <v>142</v>
      </c>
      <c r="P13" s="33"/>
      <c r="Q13" s="33"/>
      <c r="R13" s="33"/>
      <c r="S13" s="33" t="s">
        <v>421</v>
      </c>
      <c r="T13" s="33" t="s">
        <v>422</v>
      </c>
      <c r="U13" s="33"/>
      <c r="V13" s="35" t="n">
        <f aca="false">IF($T13&lt;&gt;"TAK",0,IF($O13="NIEPOLICZONE",0,IFERROR(ROUND(IF($I13="",$J13,$I13)*IF($L13="",$M13,$L13),2),0)))</f>
        <v>0</v>
      </c>
      <c r="W13" s="46" t="n">
        <f aca="false">IF($T13&lt;&gt;"TAK",0,IF($O13="NIEPOLICZONE",0,IFERROR(ROUND($J13*$M13,2),0)))</f>
        <v>0</v>
      </c>
      <c r="X13" s="35" t="n">
        <f aca="false">IF($T13&lt;&gt;"TAK",0,IF($O13="NIEPOLICZONE",0,IFERROR(ROUND(IF($K13="",$J13,$K13)*IF($N13="",$M13,$N13),2),0)))</f>
        <v>0</v>
      </c>
    </row>
    <row r="14" customFormat="false" ht="18" hidden="false" customHeight="true" outlineLevel="0" collapsed="false">
      <c r="A14" s="25" t="s">
        <v>442</v>
      </c>
      <c r="B14" s="33"/>
      <c r="C14" s="33"/>
      <c r="D14" s="33" t="s">
        <v>440</v>
      </c>
      <c r="E14" s="33" t="s">
        <v>443</v>
      </c>
      <c r="F14" s="33" t="s">
        <v>419</v>
      </c>
      <c r="G14" s="33" t="s">
        <v>420</v>
      </c>
      <c r="H14" s="33" t="s">
        <v>75</v>
      </c>
      <c r="I14" s="30"/>
      <c r="J14" s="30"/>
      <c r="K14" s="30"/>
      <c r="L14" s="30"/>
      <c r="M14" s="30"/>
      <c r="N14" s="30"/>
      <c r="O14" s="33" t="s">
        <v>142</v>
      </c>
      <c r="P14" s="33"/>
      <c r="Q14" s="33"/>
      <c r="R14" s="33"/>
      <c r="S14" s="33" t="s">
        <v>421</v>
      </c>
      <c r="T14" s="33" t="s">
        <v>422</v>
      </c>
      <c r="U14" s="33"/>
      <c r="V14" s="35" t="n">
        <f aca="false">IF($T14&lt;&gt;"TAK",0,IF($O14="NIEPOLICZONE",0,IFERROR(ROUND(IF($I14="",$J14,$I14)*IF($L14="",$M14,$L14),2),0)))</f>
        <v>0</v>
      </c>
      <c r="W14" s="46" t="n">
        <f aca="false">IF($T14&lt;&gt;"TAK",0,IF($O14="NIEPOLICZONE",0,IFERROR(ROUND($J14*$M14,2),0)))</f>
        <v>0</v>
      </c>
      <c r="X14" s="35" t="n">
        <f aca="false">IF($T14&lt;&gt;"TAK",0,IF($O14="NIEPOLICZONE",0,IFERROR(ROUND(IF($K14="",$J14,$K14)*IF($N14="",$M14,$N14),2),0)))</f>
        <v>0</v>
      </c>
    </row>
    <row r="15" customFormat="false" ht="18" hidden="false" customHeight="true" outlineLevel="0" collapsed="false">
      <c r="A15" s="25" t="s">
        <v>444</v>
      </c>
      <c r="B15" s="33"/>
      <c r="C15" s="33"/>
      <c r="D15" s="33" t="s">
        <v>440</v>
      </c>
      <c r="E15" s="33" t="s">
        <v>445</v>
      </c>
      <c r="F15" s="33" t="s">
        <v>419</v>
      </c>
      <c r="G15" s="33" t="s">
        <v>433</v>
      </c>
      <c r="H15" s="33" t="s">
        <v>106</v>
      </c>
      <c r="I15" s="30"/>
      <c r="J15" s="30"/>
      <c r="K15" s="30"/>
      <c r="L15" s="30"/>
      <c r="M15" s="30"/>
      <c r="N15" s="30"/>
      <c r="O15" s="33" t="s">
        <v>142</v>
      </c>
      <c r="P15" s="33"/>
      <c r="Q15" s="33"/>
      <c r="R15" s="33"/>
      <c r="S15" s="33" t="s">
        <v>421</v>
      </c>
      <c r="T15" s="33" t="s">
        <v>422</v>
      </c>
      <c r="U15" s="33"/>
      <c r="V15" s="35" t="n">
        <f aca="false">IF($T15&lt;&gt;"TAK",0,IF($O15="NIEPOLICZONE",0,IFERROR(ROUND(IF($I15="",$J15,$I15)*IF($L15="",$M15,$L15),2),0)))</f>
        <v>0</v>
      </c>
      <c r="W15" s="46" t="n">
        <f aca="false">IF($T15&lt;&gt;"TAK",0,IF($O15="NIEPOLICZONE",0,IFERROR(ROUND($J15*$M15,2),0)))</f>
        <v>0</v>
      </c>
      <c r="X15" s="35" t="n">
        <f aca="false">IF($T15&lt;&gt;"TAK",0,IF($O15="NIEPOLICZONE",0,IFERROR(ROUND(IF($K15="",$J15,$K15)*IF($N15="",$M15,$N15),2),0)))</f>
        <v>0</v>
      </c>
    </row>
    <row r="16" customFormat="false" ht="18" hidden="false" customHeight="true" outlineLevel="0" collapsed="false">
      <c r="A16" s="25" t="s">
        <v>446</v>
      </c>
      <c r="B16" s="33"/>
      <c r="C16" s="33"/>
      <c r="D16" s="33" t="s">
        <v>447</v>
      </c>
      <c r="E16" s="33" t="s">
        <v>448</v>
      </c>
      <c r="F16" s="33" t="s">
        <v>419</v>
      </c>
      <c r="G16" s="33" t="s">
        <v>428</v>
      </c>
      <c r="H16" s="33" t="s">
        <v>155</v>
      </c>
      <c r="I16" s="30"/>
      <c r="J16" s="30"/>
      <c r="K16" s="30"/>
      <c r="L16" s="30"/>
      <c r="M16" s="30"/>
      <c r="N16" s="30"/>
      <c r="O16" s="33" t="s">
        <v>142</v>
      </c>
      <c r="P16" s="33"/>
      <c r="Q16" s="33"/>
      <c r="R16" s="33"/>
      <c r="S16" s="33" t="s">
        <v>421</v>
      </c>
      <c r="T16" s="33" t="s">
        <v>422</v>
      </c>
      <c r="U16" s="33"/>
      <c r="V16" s="35" t="n">
        <f aca="false">IF($T16&lt;&gt;"TAK",0,IF($O16="NIEPOLICZONE",0,IFERROR(ROUND(IF($I16="",$J16,$I16)*IF($L16="",$M16,$L16),2),0)))</f>
        <v>0</v>
      </c>
      <c r="W16" s="46" t="n">
        <f aca="false">IF($T16&lt;&gt;"TAK",0,IF($O16="NIEPOLICZONE",0,IFERROR(ROUND($J16*$M16,2),0)))</f>
        <v>0</v>
      </c>
      <c r="X16" s="35" t="n">
        <f aca="false">IF($T16&lt;&gt;"TAK",0,IF($O16="NIEPOLICZONE",0,IFERROR(ROUND(IF($K16="",$J16,$K16)*IF($N16="",$M16,$N16),2),0)))</f>
        <v>0</v>
      </c>
    </row>
    <row r="17" customFormat="false" ht="18" hidden="false" customHeight="true" outlineLevel="0" collapsed="false">
      <c r="A17" s="25" t="s">
        <v>449</v>
      </c>
      <c r="B17" s="33"/>
      <c r="C17" s="33"/>
      <c r="D17" s="33" t="s">
        <v>447</v>
      </c>
      <c r="E17" s="33" t="s">
        <v>450</v>
      </c>
      <c r="F17" s="33" t="s">
        <v>419</v>
      </c>
      <c r="G17" s="33" t="s">
        <v>428</v>
      </c>
      <c r="H17" s="33" t="s">
        <v>155</v>
      </c>
      <c r="I17" s="30"/>
      <c r="J17" s="30"/>
      <c r="K17" s="30"/>
      <c r="L17" s="30"/>
      <c r="M17" s="30"/>
      <c r="N17" s="30"/>
      <c r="O17" s="33" t="s">
        <v>142</v>
      </c>
      <c r="P17" s="33"/>
      <c r="Q17" s="33"/>
      <c r="R17" s="33"/>
      <c r="S17" s="33" t="s">
        <v>421</v>
      </c>
      <c r="T17" s="33" t="s">
        <v>422</v>
      </c>
      <c r="U17" s="33"/>
      <c r="V17" s="35" t="n">
        <f aca="false">IF($T17&lt;&gt;"TAK",0,IF($O17="NIEPOLICZONE",0,IFERROR(ROUND(IF($I17="",$J17,$I17)*IF($L17="",$M17,$L17),2),0)))</f>
        <v>0</v>
      </c>
      <c r="W17" s="46" t="n">
        <f aca="false">IF($T17&lt;&gt;"TAK",0,IF($O17="NIEPOLICZONE",0,IFERROR(ROUND($J17*$M17,2),0)))</f>
        <v>0</v>
      </c>
      <c r="X17" s="35" t="n">
        <f aca="false">IF($T17&lt;&gt;"TAK",0,IF($O17="NIEPOLICZONE",0,IFERROR(ROUND(IF($K17="",$J17,$K17)*IF($N17="",$M17,$N17),2),0)))</f>
        <v>0</v>
      </c>
    </row>
    <row r="18" customFormat="false" ht="18" hidden="false" customHeight="true" outlineLevel="0" collapsed="false">
      <c r="A18" s="25" t="s">
        <v>451</v>
      </c>
      <c r="B18" s="33"/>
      <c r="C18" s="33"/>
      <c r="D18" s="33" t="s">
        <v>447</v>
      </c>
      <c r="E18" s="33" t="s">
        <v>452</v>
      </c>
      <c r="F18" s="33" t="s">
        <v>419</v>
      </c>
      <c r="G18" s="33" t="s">
        <v>428</v>
      </c>
      <c r="H18" s="33" t="s">
        <v>155</v>
      </c>
      <c r="I18" s="30"/>
      <c r="J18" s="30"/>
      <c r="K18" s="30"/>
      <c r="L18" s="30"/>
      <c r="M18" s="30"/>
      <c r="N18" s="30"/>
      <c r="O18" s="33" t="s">
        <v>142</v>
      </c>
      <c r="P18" s="33"/>
      <c r="Q18" s="33"/>
      <c r="R18" s="33"/>
      <c r="S18" s="33" t="s">
        <v>421</v>
      </c>
      <c r="T18" s="33" t="s">
        <v>422</v>
      </c>
      <c r="U18" s="33"/>
      <c r="V18" s="35" t="n">
        <f aca="false">IF($T18&lt;&gt;"TAK",0,IF($O18="NIEPOLICZONE",0,IFERROR(ROUND(IF($I18="",$J18,$I18)*IF($L18="",$M18,$L18),2),0)))</f>
        <v>0</v>
      </c>
      <c r="W18" s="46" t="n">
        <f aca="false">IF($T18&lt;&gt;"TAK",0,IF($O18="NIEPOLICZONE",0,IFERROR(ROUND($J18*$M18,2),0)))</f>
        <v>0</v>
      </c>
      <c r="X18" s="35" t="n">
        <f aca="false">IF($T18&lt;&gt;"TAK",0,IF($O18="NIEPOLICZONE",0,IFERROR(ROUND(IF($K18="",$J18,$K18)*IF($N18="",$M18,$N18),2),0)))</f>
        <v>0</v>
      </c>
    </row>
    <row r="19" customFormat="false" ht="18" hidden="false" customHeight="true" outlineLevel="0" collapsed="false">
      <c r="A19" s="25" t="s">
        <v>453</v>
      </c>
      <c r="B19" s="33"/>
      <c r="C19" s="33"/>
      <c r="D19" s="33" t="s">
        <v>454</v>
      </c>
      <c r="E19" s="33" t="s">
        <v>455</v>
      </c>
      <c r="F19" s="33" t="s">
        <v>425</v>
      </c>
      <c r="G19" s="33" t="s">
        <v>420</v>
      </c>
      <c r="H19" s="33" t="s">
        <v>75</v>
      </c>
      <c r="I19" s="30"/>
      <c r="J19" s="30"/>
      <c r="K19" s="30"/>
      <c r="L19" s="30"/>
      <c r="M19" s="30"/>
      <c r="N19" s="30"/>
      <c r="O19" s="33" t="s">
        <v>142</v>
      </c>
      <c r="P19" s="33"/>
      <c r="Q19" s="33"/>
      <c r="R19" s="33"/>
      <c r="S19" s="33" t="s">
        <v>421</v>
      </c>
      <c r="T19" s="33" t="s">
        <v>422</v>
      </c>
      <c r="U19" s="33"/>
      <c r="V19" s="35" t="n">
        <f aca="false">IF($T19&lt;&gt;"TAK",0,IF($O19="NIEPOLICZONE",0,IFERROR(ROUND(IF($I19="",$J19,$I19)*IF($L19="",$M19,$L19),2),0)))</f>
        <v>0</v>
      </c>
      <c r="W19" s="46" t="n">
        <f aca="false">IF($T19&lt;&gt;"TAK",0,IF($O19="NIEPOLICZONE",0,IFERROR(ROUND($J19*$M19,2),0)))</f>
        <v>0</v>
      </c>
      <c r="X19" s="35" t="n">
        <f aca="false">IF($T19&lt;&gt;"TAK",0,IF($O19="NIEPOLICZONE",0,IFERROR(ROUND(IF($K19="",$J19,$K19)*IF($N19="",$M19,$N19),2),0)))</f>
        <v>0</v>
      </c>
    </row>
    <row r="20" customFormat="false" ht="18" hidden="false" customHeight="true" outlineLevel="0" collapsed="false">
      <c r="A20" s="25" t="s">
        <v>456</v>
      </c>
      <c r="B20" s="33"/>
      <c r="C20" s="33"/>
      <c r="D20" s="33" t="s">
        <v>454</v>
      </c>
      <c r="E20" s="33" t="s">
        <v>457</v>
      </c>
      <c r="F20" s="33" t="s">
        <v>425</v>
      </c>
      <c r="G20" s="33" t="s">
        <v>420</v>
      </c>
      <c r="H20" s="33" t="s">
        <v>75</v>
      </c>
      <c r="I20" s="30"/>
      <c r="J20" s="30"/>
      <c r="K20" s="30"/>
      <c r="L20" s="30"/>
      <c r="M20" s="30"/>
      <c r="N20" s="30"/>
      <c r="O20" s="33" t="s">
        <v>142</v>
      </c>
      <c r="P20" s="33"/>
      <c r="Q20" s="33"/>
      <c r="R20" s="33"/>
      <c r="S20" s="33" t="s">
        <v>421</v>
      </c>
      <c r="T20" s="33" t="s">
        <v>422</v>
      </c>
      <c r="U20" s="33"/>
      <c r="V20" s="35" t="n">
        <f aca="false">IF($T20&lt;&gt;"TAK",0,IF($O20="NIEPOLICZONE",0,IFERROR(ROUND(IF($I20="",$J20,$I20)*IF($L20="",$M20,$L20),2),0)))</f>
        <v>0</v>
      </c>
      <c r="W20" s="46" t="n">
        <f aca="false">IF($T20&lt;&gt;"TAK",0,IF($O20="NIEPOLICZONE",0,IFERROR(ROUND($J20*$M20,2),0)))</f>
        <v>0</v>
      </c>
      <c r="X20" s="35" t="n">
        <f aca="false">IF($T20&lt;&gt;"TAK",0,IF($O20="NIEPOLICZONE",0,IFERROR(ROUND(IF($K20="",$J20,$K20)*IF($N20="",$M20,$N20),2),0)))</f>
        <v>0</v>
      </c>
    </row>
    <row r="21" customFormat="false" ht="18" hidden="false" customHeight="true" outlineLevel="0" collapsed="false">
      <c r="A21" s="25" t="s">
        <v>458</v>
      </c>
      <c r="B21" s="33"/>
      <c r="C21" s="33"/>
      <c r="D21" s="33" t="s">
        <v>459</v>
      </c>
      <c r="E21" s="33" t="s">
        <v>460</v>
      </c>
      <c r="F21" s="33" t="s">
        <v>425</v>
      </c>
      <c r="G21" s="33" t="s">
        <v>420</v>
      </c>
      <c r="H21" s="33" t="s">
        <v>75</v>
      </c>
      <c r="I21" s="30"/>
      <c r="J21" s="30"/>
      <c r="K21" s="30"/>
      <c r="L21" s="30"/>
      <c r="M21" s="30"/>
      <c r="N21" s="30"/>
      <c r="O21" s="33" t="s">
        <v>142</v>
      </c>
      <c r="P21" s="33"/>
      <c r="Q21" s="33"/>
      <c r="R21" s="33"/>
      <c r="S21" s="33" t="s">
        <v>421</v>
      </c>
      <c r="T21" s="33" t="s">
        <v>422</v>
      </c>
      <c r="U21" s="33"/>
      <c r="V21" s="35" t="n">
        <f aca="false">IF($T21&lt;&gt;"TAK",0,IF($O21="NIEPOLICZONE",0,IFERROR(ROUND(IF($I21="",$J21,$I21)*IF($L21="",$M21,$L21),2),0)))</f>
        <v>0</v>
      </c>
      <c r="W21" s="46" t="n">
        <f aca="false">IF($T21&lt;&gt;"TAK",0,IF($O21="NIEPOLICZONE",0,IFERROR(ROUND($J21*$M21,2),0)))</f>
        <v>0</v>
      </c>
      <c r="X21" s="35" t="n">
        <f aca="false">IF($T21&lt;&gt;"TAK",0,IF($O21="NIEPOLICZONE",0,IFERROR(ROUND(IF($K21="",$J21,$K21)*IF($N21="",$M21,$N21),2),0)))</f>
        <v>0</v>
      </c>
    </row>
    <row r="22" customFormat="false" ht="18" hidden="false" customHeight="true" outlineLevel="0" collapsed="false">
      <c r="A22" s="25" t="s">
        <v>461</v>
      </c>
      <c r="B22" s="33"/>
      <c r="C22" s="33"/>
      <c r="D22" s="33" t="s">
        <v>459</v>
      </c>
      <c r="E22" s="33" t="s">
        <v>462</v>
      </c>
      <c r="F22" s="33" t="s">
        <v>425</v>
      </c>
      <c r="G22" s="33" t="s">
        <v>428</v>
      </c>
      <c r="H22" s="33" t="s">
        <v>75</v>
      </c>
      <c r="I22" s="30"/>
      <c r="J22" s="30"/>
      <c r="K22" s="30"/>
      <c r="L22" s="30"/>
      <c r="M22" s="30"/>
      <c r="N22" s="30"/>
      <c r="O22" s="33" t="s">
        <v>142</v>
      </c>
      <c r="P22" s="33"/>
      <c r="Q22" s="33"/>
      <c r="R22" s="33"/>
      <c r="S22" s="33" t="s">
        <v>421</v>
      </c>
      <c r="T22" s="33" t="s">
        <v>422</v>
      </c>
      <c r="U22" s="33"/>
      <c r="V22" s="35" t="n">
        <f aca="false">IF($T22&lt;&gt;"TAK",0,IF($O22="NIEPOLICZONE",0,IFERROR(ROUND(IF($I22="",$J22,$I22)*IF($L22="",$M22,$L22),2),0)))</f>
        <v>0</v>
      </c>
      <c r="W22" s="46" t="n">
        <f aca="false">IF($T22&lt;&gt;"TAK",0,IF($O22="NIEPOLICZONE",0,IFERROR(ROUND($J22*$M22,2),0)))</f>
        <v>0</v>
      </c>
      <c r="X22" s="35" t="n">
        <f aca="false">IF($T22&lt;&gt;"TAK",0,IF($O22="NIEPOLICZONE",0,IFERROR(ROUND(IF($K22="",$J22,$K22)*IF($N22="",$M22,$N22),2),0)))</f>
        <v>0</v>
      </c>
    </row>
    <row r="23" customFormat="false" ht="18" hidden="false" customHeight="true" outlineLevel="0" collapsed="false">
      <c r="A23" s="25" t="s">
        <v>463</v>
      </c>
      <c r="B23" s="33"/>
      <c r="C23" s="33"/>
      <c r="D23" s="33" t="s">
        <v>464</v>
      </c>
      <c r="E23" s="33" t="s">
        <v>465</v>
      </c>
      <c r="F23" s="33" t="s">
        <v>419</v>
      </c>
      <c r="G23" s="33" t="s">
        <v>428</v>
      </c>
      <c r="H23" s="33" t="s">
        <v>75</v>
      </c>
      <c r="I23" s="30"/>
      <c r="J23" s="30"/>
      <c r="K23" s="30"/>
      <c r="L23" s="30"/>
      <c r="M23" s="30"/>
      <c r="N23" s="30"/>
      <c r="O23" s="33" t="s">
        <v>142</v>
      </c>
      <c r="P23" s="33"/>
      <c r="Q23" s="33"/>
      <c r="R23" s="33"/>
      <c r="S23" s="33" t="s">
        <v>421</v>
      </c>
      <c r="T23" s="33" t="s">
        <v>422</v>
      </c>
      <c r="U23" s="33"/>
      <c r="V23" s="35" t="n">
        <f aca="false">IF($T23&lt;&gt;"TAK",0,IF($O23="NIEPOLICZONE",0,IFERROR(ROUND(IF($I23="",$J23,$I23)*IF($L23="",$M23,$L23),2),0)))</f>
        <v>0</v>
      </c>
      <c r="W23" s="46" t="n">
        <f aca="false">IF($T23&lt;&gt;"TAK",0,IF($O23="NIEPOLICZONE",0,IFERROR(ROUND($J23*$M23,2),0)))</f>
        <v>0</v>
      </c>
      <c r="X23" s="35" t="n">
        <f aca="false">IF($T23&lt;&gt;"TAK",0,IF($O23="NIEPOLICZONE",0,IFERROR(ROUND(IF($K23="",$J23,$K23)*IF($N23="",$M23,$N23),2),0)))</f>
        <v>0</v>
      </c>
    </row>
    <row r="24" customFormat="false" ht="18" hidden="false" customHeight="true" outlineLevel="0" collapsed="false">
      <c r="A24" s="25" t="s">
        <v>466</v>
      </c>
      <c r="B24" s="33"/>
      <c r="C24" s="33"/>
      <c r="D24" s="33" t="s">
        <v>464</v>
      </c>
      <c r="E24" s="33" t="s">
        <v>467</v>
      </c>
      <c r="F24" s="33" t="s">
        <v>425</v>
      </c>
      <c r="G24" s="33" t="s">
        <v>420</v>
      </c>
      <c r="H24" s="33" t="s">
        <v>75</v>
      </c>
      <c r="I24" s="30"/>
      <c r="J24" s="30"/>
      <c r="K24" s="30"/>
      <c r="L24" s="30"/>
      <c r="M24" s="30"/>
      <c r="N24" s="30"/>
      <c r="O24" s="33" t="s">
        <v>142</v>
      </c>
      <c r="P24" s="33"/>
      <c r="Q24" s="33"/>
      <c r="R24" s="33"/>
      <c r="S24" s="33" t="s">
        <v>421</v>
      </c>
      <c r="T24" s="33" t="s">
        <v>422</v>
      </c>
      <c r="U24" s="33"/>
      <c r="V24" s="35" t="n">
        <f aca="false">IF($T24&lt;&gt;"TAK",0,IF($O24="NIEPOLICZONE",0,IFERROR(ROUND(IF($I24="",$J24,$I24)*IF($L24="",$M24,$L24),2),0)))</f>
        <v>0</v>
      </c>
      <c r="W24" s="46" t="n">
        <f aca="false">IF($T24&lt;&gt;"TAK",0,IF($O24="NIEPOLICZONE",0,IFERROR(ROUND($J24*$M24,2),0)))</f>
        <v>0</v>
      </c>
      <c r="X24" s="35" t="n">
        <f aca="false">IF($T24&lt;&gt;"TAK",0,IF($O24="NIEPOLICZONE",0,IFERROR(ROUND(IF($K24="",$J24,$K24)*IF($N24="",$M24,$N24),2),0)))</f>
        <v>0</v>
      </c>
    </row>
    <row r="25" customFormat="false" ht="18" hidden="false" customHeight="true" outlineLevel="0" collapsed="false">
      <c r="A25" s="25" t="s">
        <v>468</v>
      </c>
      <c r="B25" s="33"/>
      <c r="C25" s="33"/>
      <c r="D25" s="33" t="s">
        <v>464</v>
      </c>
      <c r="E25" s="33" t="s">
        <v>469</v>
      </c>
      <c r="F25" s="33" t="s">
        <v>419</v>
      </c>
      <c r="G25" s="33" t="s">
        <v>433</v>
      </c>
      <c r="H25" s="33" t="s">
        <v>106</v>
      </c>
      <c r="I25" s="30"/>
      <c r="J25" s="30"/>
      <c r="K25" s="30"/>
      <c r="L25" s="30"/>
      <c r="M25" s="30"/>
      <c r="N25" s="30"/>
      <c r="O25" s="33" t="s">
        <v>142</v>
      </c>
      <c r="P25" s="33"/>
      <c r="Q25" s="33"/>
      <c r="R25" s="33"/>
      <c r="S25" s="33" t="s">
        <v>421</v>
      </c>
      <c r="T25" s="33" t="s">
        <v>422</v>
      </c>
      <c r="U25" s="33"/>
      <c r="V25" s="35" t="n">
        <f aca="false">IF($T25&lt;&gt;"TAK",0,IF($O25="NIEPOLICZONE",0,IFERROR(ROUND(IF($I25="",$J25,$I25)*IF($L25="",$M25,$L25),2),0)))</f>
        <v>0</v>
      </c>
      <c r="W25" s="46" t="n">
        <f aca="false">IF($T25&lt;&gt;"TAK",0,IF($O25="NIEPOLICZONE",0,IFERROR(ROUND($J25*$M25,2),0)))</f>
        <v>0</v>
      </c>
      <c r="X25" s="35" t="n">
        <f aca="false">IF($T25&lt;&gt;"TAK",0,IF($O25="NIEPOLICZONE",0,IFERROR(ROUND(IF($K25="",$J25,$K25)*IF($N25="",$M25,$N25),2),0)))</f>
        <v>0</v>
      </c>
    </row>
    <row r="26" customFormat="false" ht="18" hidden="false" customHeight="true" outlineLevel="0" collapsed="false">
      <c r="A26" s="25" t="s">
        <v>470</v>
      </c>
      <c r="B26" s="33"/>
      <c r="C26" s="33"/>
      <c r="D26" s="33" t="s">
        <v>464</v>
      </c>
      <c r="E26" s="33" t="s">
        <v>471</v>
      </c>
      <c r="F26" s="33" t="s">
        <v>419</v>
      </c>
      <c r="G26" s="33" t="s">
        <v>433</v>
      </c>
      <c r="H26" s="33" t="s">
        <v>106</v>
      </c>
      <c r="I26" s="30"/>
      <c r="J26" s="30"/>
      <c r="K26" s="30"/>
      <c r="L26" s="30"/>
      <c r="M26" s="30"/>
      <c r="N26" s="30"/>
      <c r="O26" s="33" t="s">
        <v>142</v>
      </c>
      <c r="P26" s="33"/>
      <c r="Q26" s="33"/>
      <c r="R26" s="33"/>
      <c r="S26" s="33" t="s">
        <v>421</v>
      </c>
      <c r="T26" s="33" t="s">
        <v>422</v>
      </c>
      <c r="U26" s="33"/>
      <c r="V26" s="35" t="n">
        <f aca="false">IF($T26&lt;&gt;"TAK",0,IF($O26="NIEPOLICZONE",0,IFERROR(ROUND(IF($I26="",$J26,$I26)*IF($L26="",$M26,$L26),2),0)))</f>
        <v>0</v>
      </c>
      <c r="W26" s="46" t="n">
        <f aca="false">IF($T26&lt;&gt;"TAK",0,IF($O26="NIEPOLICZONE",0,IFERROR(ROUND($J26*$M26,2),0)))</f>
        <v>0</v>
      </c>
      <c r="X26" s="35" t="n">
        <f aca="false">IF($T26&lt;&gt;"TAK",0,IF($O26="NIEPOLICZONE",0,IFERROR(ROUND(IF($K26="",$J26,$K26)*IF($N26="",$M26,$N26),2),0)))</f>
        <v>0</v>
      </c>
    </row>
    <row r="27" customFormat="false" ht="18" hidden="false" customHeight="true" outlineLevel="0" collapsed="false">
      <c r="A27" s="25" t="s">
        <v>472</v>
      </c>
      <c r="B27" s="33"/>
      <c r="C27" s="33"/>
      <c r="D27" s="33" t="s">
        <v>464</v>
      </c>
      <c r="E27" s="33" t="s">
        <v>473</v>
      </c>
      <c r="F27" s="33" t="s">
        <v>419</v>
      </c>
      <c r="G27" s="33" t="s">
        <v>433</v>
      </c>
      <c r="H27" s="33" t="s">
        <v>106</v>
      </c>
      <c r="I27" s="30"/>
      <c r="J27" s="30"/>
      <c r="K27" s="30"/>
      <c r="L27" s="30"/>
      <c r="M27" s="30"/>
      <c r="N27" s="30"/>
      <c r="O27" s="33" t="s">
        <v>142</v>
      </c>
      <c r="P27" s="33"/>
      <c r="Q27" s="33"/>
      <c r="R27" s="33"/>
      <c r="S27" s="33" t="s">
        <v>421</v>
      </c>
      <c r="T27" s="33" t="s">
        <v>422</v>
      </c>
      <c r="U27" s="33"/>
      <c r="V27" s="35" t="n">
        <f aca="false">IF($T27&lt;&gt;"TAK",0,IF($O27="NIEPOLICZONE",0,IFERROR(ROUND(IF($I27="",$J27,$I27)*IF($L27="",$M27,$L27),2),0)))</f>
        <v>0</v>
      </c>
      <c r="W27" s="46" t="n">
        <f aca="false">IF($T27&lt;&gt;"TAK",0,IF($O27="NIEPOLICZONE",0,IFERROR(ROUND($J27*$M27,2),0)))</f>
        <v>0</v>
      </c>
      <c r="X27" s="35" t="n">
        <f aca="false">IF($T27&lt;&gt;"TAK",0,IF($O27="NIEPOLICZONE",0,IFERROR(ROUND(IF($K27="",$J27,$K27)*IF($N27="",$M27,$N27),2),0)))</f>
        <v>0</v>
      </c>
    </row>
    <row r="28" customFormat="false" ht="18" hidden="false" customHeight="true" outlineLevel="0" collapsed="false">
      <c r="A28" s="25" t="s">
        <v>474</v>
      </c>
      <c r="B28" s="33"/>
      <c r="C28" s="33"/>
      <c r="D28" s="33" t="s">
        <v>464</v>
      </c>
      <c r="E28" s="33" t="s">
        <v>475</v>
      </c>
      <c r="F28" s="33" t="s">
        <v>419</v>
      </c>
      <c r="G28" s="33" t="s">
        <v>433</v>
      </c>
      <c r="H28" s="33" t="s">
        <v>106</v>
      </c>
      <c r="I28" s="30"/>
      <c r="J28" s="30"/>
      <c r="K28" s="30"/>
      <c r="L28" s="30"/>
      <c r="M28" s="30"/>
      <c r="N28" s="30"/>
      <c r="O28" s="33" t="s">
        <v>142</v>
      </c>
      <c r="P28" s="33"/>
      <c r="Q28" s="33"/>
      <c r="R28" s="33"/>
      <c r="S28" s="33" t="s">
        <v>421</v>
      </c>
      <c r="T28" s="33" t="s">
        <v>422</v>
      </c>
      <c r="U28" s="33"/>
      <c r="V28" s="35" t="n">
        <f aca="false">IF($T28&lt;&gt;"TAK",0,IF($O28="NIEPOLICZONE",0,IFERROR(ROUND(IF($I28="",$J28,$I28)*IF($L28="",$M28,$L28),2),0)))</f>
        <v>0</v>
      </c>
      <c r="W28" s="46" t="n">
        <f aca="false">IF($T28&lt;&gt;"TAK",0,IF($O28="NIEPOLICZONE",0,IFERROR(ROUND($J28*$M28,2),0)))</f>
        <v>0</v>
      </c>
      <c r="X28" s="35" t="n">
        <f aca="false">IF($T28&lt;&gt;"TAK",0,IF($O28="NIEPOLICZONE",0,IFERROR(ROUND(IF($K28="",$J28,$K28)*IF($N28="",$M28,$N28),2),0)))</f>
        <v>0</v>
      </c>
    </row>
    <row r="29" customFormat="false" ht="18" hidden="false" customHeight="true" outlineLevel="0" collapsed="false">
      <c r="A29" s="25" t="s">
        <v>476</v>
      </c>
      <c r="B29" s="33"/>
      <c r="C29" s="33"/>
      <c r="D29" s="33" t="s">
        <v>477</v>
      </c>
      <c r="E29" s="33" t="s">
        <v>478</v>
      </c>
      <c r="F29" s="33" t="s">
        <v>425</v>
      </c>
      <c r="G29" s="33" t="s">
        <v>420</v>
      </c>
      <c r="H29" s="33" t="s">
        <v>75</v>
      </c>
      <c r="I29" s="30"/>
      <c r="J29" s="30"/>
      <c r="K29" s="30"/>
      <c r="L29" s="30"/>
      <c r="M29" s="30"/>
      <c r="N29" s="30"/>
      <c r="O29" s="33" t="s">
        <v>142</v>
      </c>
      <c r="P29" s="33"/>
      <c r="Q29" s="33"/>
      <c r="R29" s="33"/>
      <c r="S29" s="33" t="s">
        <v>421</v>
      </c>
      <c r="T29" s="33" t="s">
        <v>422</v>
      </c>
      <c r="U29" s="33"/>
      <c r="V29" s="35" t="n">
        <f aca="false">IF($T29&lt;&gt;"TAK",0,IF($O29="NIEPOLICZONE",0,IFERROR(ROUND(IF($I29="",$J29,$I29)*IF($L29="",$M29,$L29),2),0)))</f>
        <v>0</v>
      </c>
      <c r="W29" s="46" t="n">
        <f aca="false">IF($T29&lt;&gt;"TAK",0,IF($O29="NIEPOLICZONE",0,IFERROR(ROUND($J29*$M29,2),0)))</f>
        <v>0</v>
      </c>
      <c r="X29" s="35" t="n">
        <f aca="false">IF($T29&lt;&gt;"TAK",0,IF($O29="NIEPOLICZONE",0,IFERROR(ROUND(IF($K29="",$J29,$K29)*IF($N29="",$M29,$N29),2),0)))</f>
        <v>0</v>
      </c>
    </row>
    <row r="30" customFormat="false" ht="18" hidden="false" customHeight="true" outlineLevel="0" collapsed="false">
      <c r="A30" s="25" t="s">
        <v>479</v>
      </c>
      <c r="B30" s="33"/>
      <c r="C30" s="33"/>
      <c r="D30" s="33" t="s">
        <v>477</v>
      </c>
      <c r="E30" s="33" t="s">
        <v>480</v>
      </c>
      <c r="F30" s="33" t="s">
        <v>425</v>
      </c>
      <c r="G30" s="33" t="s">
        <v>420</v>
      </c>
      <c r="H30" s="33" t="s">
        <v>75</v>
      </c>
      <c r="I30" s="30"/>
      <c r="J30" s="30"/>
      <c r="K30" s="30"/>
      <c r="L30" s="30"/>
      <c r="M30" s="30"/>
      <c r="N30" s="30"/>
      <c r="O30" s="33" t="s">
        <v>142</v>
      </c>
      <c r="P30" s="33"/>
      <c r="Q30" s="33"/>
      <c r="R30" s="33"/>
      <c r="S30" s="33" t="s">
        <v>421</v>
      </c>
      <c r="T30" s="33" t="s">
        <v>422</v>
      </c>
      <c r="U30" s="33"/>
      <c r="V30" s="35" t="n">
        <f aca="false">IF($T30&lt;&gt;"TAK",0,IF($O30="NIEPOLICZONE",0,IFERROR(ROUND(IF($I30="",$J30,$I30)*IF($L30="",$M30,$L30),2),0)))</f>
        <v>0</v>
      </c>
      <c r="W30" s="46" t="n">
        <f aca="false">IF($T30&lt;&gt;"TAK",0,IF($O30="NIEPOLICZONE",0,IFERROR(ROUND($J30*$M30,2),0)))</f>
        <v>0</v>
      </c>
      <c r="X30" s="35" t="n">
        <f aca="false">IF($T30&lt;&gt;"TAK",0,IF($O30="NIEPOLICZONE",0,IFERROR(ROUND(IF($K30="",$J30,$K30)*IF($N30="",$M30,$N30),2),0)))</f>
        <v>0</v>
      </c>
    </row>
    <row r="31" customFormat="false" ht="18" hidden="false" customHeight="true" outlineLevel="0" collapsed="false">
      <c r="A31" s="25" t="s">
        <v>481</v>
      </c>
      <c r="B31" s="33"/>
      <c r="C31" s="33"/>
      <c r="D31" s="33" t="s">
        <v>482</v>
      </c>
      <c r="E31" s="33" t="s">
        <v>483</v>
      </c>
      <c r="F31" s="33" t="s">
        <v>425</v>
      </c>
      <c r="G31" s="33" t="s">
        <v>420</v>
      </c>
      <c r="H31" s="33" t="s">
        <v>75</v>
      </c>
      <c r="I31" s="30"/>
      <c r="J31" s="30"/>
      <c r="K31" s="30"/>
      <c r="L31" s="30"/>
      <c r="M31" s="30"/>
      <c r="N31" s="30"/>
      <c r="O31" s="33" t="s">
        <v>142</v>
      </c>
      <c r="P31" s="33"/>
      <c r="Q31" s="33"/>
      <c r="R31" s="33"/>
      <c r="S31" s="33" t="s">
        <v>421</v>
      </c>
      <c r="T31" s="33" t="s">
        <v>422</v>
      </c>
      <c r="U31" s="33"/>
      <c r="V31" s="35" t="n">
        <f aca="false">IF($T31&lt;&gt;"TAK",0,IF($O31="NIEPOLICZONE",0,IFERROR(ROUND(IF($I31="",$J31,$I31)*IF($L31="",$M31,$L31),2),0)))</f>
        <v>0</v>
      </c>
      <c r="W31" s="46" t="n">
        <f aca="false">IF($T31&lt;&gt;"TAK",0,IF($O31="NIEPOLICZONE",0,IFERROR(ROUND($J31*$M31,2),0)))</f>
        <v>0</v>
      </c>
      <c r="X31" s="35" t="n">
        <f aca="false">IF($T31&lt;&gt;"TAK",0,IF($O31="NIEPOLICZONE",0,IFERROR(ROUND(IF($K31="",$J31,$K31)*IF($N31="",$M31,$N31),2),0)))</f>
        <v>0</v>
      </c>
    </row>
    <row r="32" customFormat="false" ht="18" hidden="false" customHeight="true" outlineLevel="0" collapsed="false">
      <c r="A32" s="25" t="s">
        <v>484</v>
      </c>
      <c r="B32" s="33"/>
      <c r="C32" s="33"/>
      <c r="D32" s="33" t="s">
        <v>482</v>
      </c>
      <c r="E32" s="33" t="s">
        <v>485</v>
      </c>
      <c r="F32" s="33" t="s">
        <v>419</v>
      </c>
      <c r="G32" s="33" t="s">
        <v>433</v>
      </c>
      <c r="H32" s="33" t="s">
        <v>106</v>
      </c>
      <c r="I32" s="30"/>
      <c r="J32" s="30"/>
      <c r="K32" s="30"/>
      <c r="L32" s="30"/>
      <c r="M32" s="30"/>
      <c r="N32" s="30"/>
      <c r="O32" s="33" t="s">
        <v>142</v>
      </c>
      <c r="P32" s="33"/>
      <c r="Q32" s="33"/>
      <c r="R32" s="33"/>
      <c r="S32" s="33" t="s">
        <v>421</v>
      </c>
      <c r="T32" s="33" t="s">
        <v>422</v>
      </c>
      <c r="U32" s="33"/>
      <c r="V32" s="35" t="n">
        <f aca="false">IF($T32&lt;&gt;"TAK",0,IF($O32="NIEPOLICZONE",0,IFERROR(ROUND(IF($I32="",$J32,$I32)*IF($L32="",$M32,$L32),2),0)))</f>
        <v>0</v>
      </c>
      <c r="W32" s="46" t="n">
        <f aca="false">IF($T32&lt;&gt;"TAK",0,IF($O32="NIEPOLICZONE",0,IFERROR(ROUND($J32*$M32,2),0)))</f>
        <v>0</v>
      </c>
      <c r="X32" s="35" t="n">
        <f aca="false">IF($T32&lt;&gt;"TAK",0,IF($O32="NIEPOLICZONE",0,IFERROR(ROUND(IF($K32="",$J32,$K32)*IF($N32="",$M32,$N32),2),0)))</f>
        <v>0</v>
      </c>
    </row>
    <row r="33" customFormat="false" ht="18" hidden="false" customHeight="true" outlineLevel="0" collapsed="false">
      <c r="A33" s="25" t="s">
        <v>486</v>
      </c>
      <c r="B33" s="33"/>
      <c r="C33" s="33"/>
      <c r="D33" s="33" t="s">
        <v>487</v>
      </c>
      <c r="E33" s="33" t="s">
        <v>488</v>
      </c>
      <c r="F33" s="33" t="s">
        <v>419</v>
      </c>
      <c r="G33" s="33" t="s">
        <v>428</v>
      </c>
      <c r="H33" s="33" t="s">
        <v>75</v>
      </c>
      <c r="I33" s="30"/>
      <c r="J33" s="30"/>
      <c r="K33" s="30"/>
      <c r="L33" s="30"/>
      <c r="M33" s="30"/>
      <c r="N33" s="30"/>
      <c r="O33" s="33" t="s">
        <v>142</v>
      </c>
      <c r="P33" s="33"/>
      <c r="Q33" s="33"/>
      <c r="R33" s="33"/>
      <c r="S33" s="33" t="s">
        <v>421</v>
      </c>
      <c r="T33" s="33" t="s">
        <v>422</v>
      </c>
      <c r="U33" s="33"/>
      <c r="V33" s="35" t="n">
        <f aca="false">IF($T33&lt;&gt;"TAK",0,IF($O33="NIEPOLICZONE",0,IFERROR(ROUND(IF($I33="",$J33,$I33)*IF($L33="",$M33,$L33),2),0)))</f>
        <v>0</v>
      </c>
      <c r="W33" s="46" t="n">
        <f aca="false">IF($T33&lt;&gt;"TAK",0,IF($O33="NIEPOLICZONE",0,IFERROR(ROUND($J33*$M33,2),0)))</f>
        <v>0</v>
      </c>
      <c r="X33" s="35" t="n">
        <f aca="false">IF($T33&lt;&gt;"TAK",0,IF($O33="NIEPOLICZONE",0,IFERROR(ROUND(IF($K33="",$J33,$K33)*IF($N33="",$M33,$N33),2),0)))</f>
        <v>0</v>
      </c>
    </row>
    <row r="34" customFormat="false" ht="18" hidden="false" customHeight="true" outlineLevel="0" collapsed="false">
      <c r="A34" s="25" t="s">
        <v>489</v>
      </c>
      <c r="B34" s="33"/>
      <c r="C34" s="33"/>
      <c r="D34" s="33" t="s">
        <v>487</v>
      </c>
      <c r="E34" s="33" t="s">
        <v>490</v>
      </c>
      <c r="F34" s="33" t="s">
        <v>425</v>
      </c>
      <c r="G34" s="33" t="s">
        <v>420</v>
      </c>
      <c r="H34" s="33" t="s">
        <v>75</v>
      </c>
      <c r="I34" s="30"/>
      <c r="J34" s="30"/>
      <c r="K34" s="30"/>
      <c r="L34" s="30"/>
      <c r="M34" s="30"/>
      <c r="N34" s="30"/>
      <c r="O34" s="33" t="s">
        <v>142</v>
      </c>
      <c r="P34" s="33"/>
      <c r="Q34" s="33"/>
      <c r="R34" s="33"/>
      <c r="S34" s="33" t="s">
        <v>421</v>
      </c>
      <c r="T34" s="33" t="s">
        <v>422</v>
      </c>
      <c r="U34" s="33"/>
      <c r="V34" s="35" t="n">
        <f aca="false">IF($T34&lt;&gt;"TAK",0,IF($O34="NIEPOLICZONE",0,IFERROR(ROUND(IF($I34="",$J34,$I34)*IF($L34="",$M34,$L34),2),0)))</f>
        <v>0</v>
      </c>
      <c r="W34" s="46" t="n">
        <f aca="false">IF($T34&lt;&gt;"TAK",0,IF($O34="NIEPOLICZONE",0,IFERROR(ROUND($J34*$M34,2),0)))</f>
        <v>0</v>
      </c>
      <c r="X34" s="35" t="n">
        <f aca="false">IF($T34&lt;&gt;"TAK",0,IF($O34="NIEPOLICZONE",0,IFERROR(ROUND(IF($K34="",$J34,$K34)*IF($N34="",$M34,$N34),2),0)))</f>
        <v>0</v>
      </c>
    </row>
    <row r="35" customFormat="false" ht="18" hidden="false" customHeight="true" outlineLevel="0" collapsed="false">
      <c r="A35" s="25" t="s">
        <v>491</v>
      </c>
      <c r="B35" s="33"/>
      <c r="C35" s="33"/>
      <c r="D35" s="33" t="s">
        <v>487</v>
      </c>
      <c r="E35" s="33" t="s">
        <v>492</v>
      </c>
      <c r="F35" s="33" t="s">
        <v>419</v>
      </c>
      <c r="G35" s="33" t="s">
        <v>433</v>
      </c>
      <c r="H35" s="33" t="s">
        <v>106</v>
      </c>
      <c r="I35" s="30"/>
      <c r="J35" s="30"/>
      <c r="K35" s="30"/>
      <c r="L35" s="30"/>
      <c r="M35" s="30"/>
      <c r="N35" s="30"/>
      <c r="O35" s="33" t="s">
        <v>142</v>
      </c>
      <c r="P35" s="33"/>
      <c r="Q35" s="33"/>
      <c r="R35" s="33"/>
      <c r="S35" s="33" t="s">
        <v>421</v>
      </c>
      <c r="T35" s="33" t="s">
        <v>422</v>
      </c>
      <c r="U35" s="33"/>
      <c r="V35" s="35" t="n">
        <f aca="false">IF($T35&lt;&gt;"TAK",0,IF($O35="NIEPOLICZONE",0,IFERROR(ROUND(IF($I35="",$J35,$I35)*IF($L35="",$M35,$L35),2),0)))</f>
        <v>0</v>
      </c>
      <c r="W35" s="46" t="n">
        <f aca="false">IF($T35&lt;&gt;"TAK",0,IF($O35="NIEPOLICZONE",0,IFERROR(ROUND($J35*$M35,2),0)))</f>
        <v>0</v>
      </c>
      <c r="X35" s="35" t="n">
        <f aca="false">IF($T35&lt;&gt;"TAK",0,IF($O35="NIEPOLICZONE",0,IFERROR(ROUND(IF($K35="",$J35,$K35)*IF($N35="",$M35,$N35),2),0)))</f>
        <v>0</v>
      </c>
    </row>
    <row r="36" customFormat="false" ht="18" hidden="false" customHeight="true" outlineLevel="0" collapsed="false">
      <c r="A36" s="25" t="s">
        <v>493</v>
      </c>
      <c r="B36" s="33"/>
      <c r="C36" s="33"/>
      <c r="D36" s="33" t="s">
        <v>494</v>
      </c>
      <c r="E36" s="33" t="s">
        <v>495</v>
      </c>
      <c r="F36" s="33" t="s">
        <v>419</v>
      </c>
      <c r="G36" s="33" t="s">
        <v>433</v>
      </c>
      <c r="H36" s="33" t="s">
        <v>106</v>
      </c>
      <c r="I36" s="30"/>
      <c r="J36" s="30"/>
      <c r="K36" s="30"/>
      <c r="L36" s="30"/>
      <c r="M36" s="30"/>
      <c r="N36" s="30"/>
      <c r="O36" s="33" t="s">
        <v>142</v>
      </c>
      <c r="P36" s="33"/>
      <c r="Q36" s="33"/>
      <c r="R36" s="33"/>
      <c r="S36" s="33" t="s">
        <v>421</v>
      </c>
      <c r="T36" s="33" t="s">
        <v>422</v>
      </c>
      <c r="U36" s="33"/>
      <c r="V36" s="35" t="n">
        <f aca="false">IF($T36&lt;&gt;"TAK",0,IF($O36="NIEPOLICZONE",0,IFERROR(ROUND(IF($I36="",$J36,$I36)*IF($L36="",$M36,$L36),2),0)))</f>
        <v>0</v>
      </c>
      <c r="W36" s="46" t="n">
        <f aca="false">IF($T36&lt;&gt;"TAK",0,IF($O36="NIEPOLICZONE",0,IFERROR(ROUND($J36*$M36,2),0)))</f>
        <v>0</v>
      </c>
      <c r="X36" s="35" t="n">
        <f aca="false">IF($T36&lt;&gt;"TAK",0,IF($O36="NIEPOLICZONE",0,IFERROR(ROUND(IF($K36="",$J36,$K36)*IF($N36="",$M36,$N36),2),0)))</f>
        <v>0</v>
      </c>
    </row>
    <row r="37" customFormat="false" ht="18" hidden="false" customHeight="true" outlineLevel="0" collapsed="false">
      <c r="A37" s="25" t="s">
        <v>496</v>
      </c>
      <c r="B37" s="33"/>
      <c r="C37" s="33"/>
      <c r="D37" s="33" t="s">
        <v>494</v>
      </c>
      <c r="E37" s="33" t="s">
        <v>497</v>
      </c>
      <c r="F37" s="33" t="s">
        <v>498</v>
      </c>
      <c r="G37" s="33" t="s">
        <v>499</v>
      </c>
      <c r="H37" s="33" t="s">
        <v>93</v>
      </c>
      <c r="I37" s="30"/>
      <c r="J37" s="30"/>
      <c r="K37" s="30"/>
      <c r="L37" s="30"/>
      <c r="M37" s="30"/>
      <c r="N37" s="30"/>
      <c r="O37" s="33" t="s">
        <v>142</v>
      </c>
      <c r="P37" s="33"/>
      <c r="Q37" s="33"/>
      <c r="R37" s="33"/>
      <c r="S37" s="33" t="s">
        <v>421</v>
      </c>
      <c r="T37" s="33" t="s">
        <v>422</v>
      </c>
      <c r="U37" s="33"/>
      <c r="V37" s="35" t="n">
        <f aca="false">IF($T37&lt;&gt;"TAK",0,IF($O37="NIEPOLICZONE",0,IFERROR(ROUND(IF($I37="",$J37,$I37)*IF($L37="",$M37,$L37),2),0)))</f>
        <v>0</v>
      </c>
      <c r="W37" s="46" t="n">
        <f aca="false">IF($T37&lt;&gt;"TAK",0,IF($O37="NIEPOLICZONE",0,IFERROR(ROUND($J37*$M37,2),0)))</f>
        <v>0</v>
      </c>
      <c r="X37" s="35" t="n">
        <f aca="false">IF($T37&lt;&gt;"TAK",0,IF($O37="NIEPOLICZONE",0,IFERROR(ROUND(IF($K37="",$J37,$K37)*IF($N37="",$M37,$N37),2),0)))</f>
        <v>0</v>
      </c>
    </row>
    <row r="38" customFormat="false" ht="18" hidden="false" customHeight="true" outlineLevel="0" collapsed="false">
      <c r="A38" s="25" t="s">
        <v>500</v>
      </c>
      <c r="B38" s="33"/>
      <c r="C38" s="33"/>
      <c r="D38" s="33" t="s">
        <v>501</v>
      </c>
      <c r="E38" s="33" t="s">
        <v>502</v>
      </c>
      <c r="F38" s="33" t="s">
        <v>503</v>
      </c>
      <c r="G38" s="33" t="s">
        <v>433</v>
      </c>
      <c r="H38" s="33" t="s">
        <v>106</v>
      </c>
      <c r="I38" s="30"/>
      <c r="J38" s="30"/>
      <c r="K38" s="30"/>
      <c r="L38" s="30"/>
      <c r="M38" s="30"/>
      <c r="N38" s="30"/>
      <c r="O38" s="33" t="s">
        <v>142</v>
      </c>
      <c r="P38" s="33"/>
      <c r="Q38" s="33"/>
      <c r="R38" s="33"/>
      <c r="S38" s="33" t="s">
        <v>421</v>
      </c>
      <c r="T38" s="33" t="s">
        <v>422</v>
      </c>
      <c r="U38" s="33"/>
      <c r="V38" s="35" t="n">
        <f aca="false">IF($T38&lt;&gt;"TAK",0,IF($O38="NIEPOLICZONE",0,IFERROR(ROUND(IF($I38="",$J38,$I38)*IF($L38="",$M38,$L38),2),0)))</f>
        <v>0</v>
      </c>
      <c r="W38" s="46" t="n">
        <f aca="false">IF($T38&lt;&gt;"TAK",0,IF($O38="NIEPOLICZONE",0,IFERROR(ROUND($J38*$M38,2),0)))</f>
        <v>0</v>
      </c>
      <c r="X38" s="35" t="n">
        <f aca="false">IF($T38&lt;&gt;"TAK",0,IF($O38="NIEPOLICZONE",0,IFERROR(ROUND(IF($K38="",$J38,$K38)*IF($N38="",$M38,$N38),2),0)))</f>
        <v>0</v>
      </c>
    </row>
    <row r="39" customFormat="false" ht="18" hidden="false" customHeight="true" outlineLevel="0" collapsed="false">
      <c r="A39" s="25" t="s">
        <v>504</v>
      </c>
      <c r="B39" s="33"/>
      <c r="C39" s="33"/>
      <c r="D39" s="33" t="s">
        <v>501</v>
      </c>
      <c r="E39" s="33" t="s">
        <v>505</v>
      </c>
      <c r="F39" s="33" t="s">
        <v>503</v>
      </c>
      <c r="G39" s="33" t="s">
        <v>433</v>
      </c>
      <c r="H39" s="33" t="s">
        <v>106</v>
      </c>
      <c r="I39" s="30"/>
      <c r="J39" s="30"/>
      <c r="K39" s="30"/>
      <c r="L39" s="30"/>
      <c r="M39" s="30"/>
      <c r="N39" s="30"/>
      <c r="O39" s="33" t="s">
        <v>142</v>
      </c>
      <c r="P39" s="33"/>
      <c r="Q39" s="33"/>
      <c r="R39" s="33"/>
      <c r="S39" s="33" t="s">
        <v>421</v>
      </c>
      <c r="T39" s="33" t="s">
        <v>422</v>
      </c>
      <c r="U39" s="33"/>
      <c r="V39" s="35" t="n">
        <f aca="false">IF($T39&lt;&gt;"TAK",0,IF($O39="NIEPOLICZONE",0,IFERROR(ROUND(IF($I39="",$J39,$I39)*IF($L39="",$M39,$L39),2),0)))</f>
        <v>0</v>
      </c>
      <c r="W39" s="46" t="n">
        <f aca="false">IF($T39&lt;&gt;"TAK",0,IF($O39="NIEPOLICZONE",0,IFERROR(ROUND($J39*$M39,2),0)))</f>
        <v>0</v>
      </c>
      <c r="X39" s="35" t="n">
        <f aca="false">IF($T39&lt;&gt;"TAK",0,IF($O39="NIEPOLICZONE",0,IFERROR(ROUND(IF($K39="",$J39,$K39)*IF($N39="",$M39,$N39),2),0)))</f>
        <v>0</v>
      </c>
    </row>
    <row r="40" customFormat="false" ht="18" hidden="false" customHeight="true" outlineLevel="0" collapsed="false">
      <c r="A40" s="25" t="s">
        <v>506</v>
      </c>
      <c r="B40" s="33"/>
      <c r="C40" s="33"/>
      <c r="D40" s="33"/>
      <c r="E40" s="33"/>
      <c r="F40" s="33"/>
      <c r="G40" s="33"/>
      <c r="H40" s="33"/>
      <c r="I40" s="30"/>
      <c r="J40" s="30"/>
      <c r="K40" s="30"/>
      <c r="L40" s="30"/>
      <c r="M40" s="30"/>
      <c r="N40" s="30"/>
      <c r="O40" s="33"/>
      <c r="P40" s="33"/>
      <c r="Q40" s="33"/>
      <c r="R40" s="33"/>
      <c r="S40" s="33"/>
      <c r="T40" s="33"/>
      <c r="U40" s="33"/>
      <c r="V40" s="35" t="n">
        <f aca="false">IF($T40&lt;&gt;"TAK",0,IF($O40="NIEPOLICZONE",0,IFERROR(ROUND(IF($I40="",$J40,$I40)*IF($L40="",$M40,$L40),2),0)))</f>
        <v>0</v>
      </c>
      <c r="W40" s="46" t="n">
        <f aca="false">IF($T40&lt;&gt;"TAK",0,IF($O40="NIEPOLICZONE",0,IFERROR(ROUND($J40*$M40,2),0)))</f>
        <v>0</v>
      </c>
      <c r="X40" s="35" t="n">
        <f aca="false">IF($T40&lt;&gt;"TAK",0,IF($O40="NIEPOLICZONE",0,IFERROR(ROUND(IF($K40="",$J40,$K40)*IF($N40="",$M40,$N40),2),0)))</f>
        <v>0</v>
      </c>
    </row>
    <row r="41" customFormat="false" ht="18" hidden="false" customHeight="true" outlineLevel="0" collapsed="false">
      <c r="A41" s="25" t="s">
        <v>507</v>
      </c>
      <c r="B41" s="33"/>
      <c r="C41" s="33"/>
      <c r="D41" s="33"/>
      <c r="E41" s="33"/>
      <c r="F41" s="33"/>
      <c r="G41" s="33"/>
      <c r="H41" s="33"/>
      <c r="I41" s="30"/>
      <c r="J41" s="30"/>
      <c r="K41" s="30"/>
      <c r="L41" s="30"/>
      <c r="M41" s="30"/>
      <c r="N41" s="30"/>
      <c r="O41" s="33"/>
      <c r="P41" s="33"/>
      <c r="Q41" s="33"/>
      <c r="R41" s="33"/>
      <c r="S41" s="33"/>
      <c r="T41" s="33"/>
      <c r="U41" s="33"/>
      <c r="V41" s="35" t="n">
        <f aca="false">IF($T41&lt;&gt;"TAK",0,IF($O41="NIEPOLICZONE",0,IFERROR(ROUND(IF($I41="",$J41,$I41)*IF($L41="",$M41,$L41),2),0)))</f>
        <v>0</v>
      </c>
      <c r="W41" s="46" t="n">
        <f aca="false">IF($T41&lt;&gt;"TAK",0,IF($O41="NIEPOLICZONE",0,IFERROR(ROUND($J41*$M41,2),0)))</f>
        <v>0</v>
      </c>
      <c r="X41" s="35" t="n">
        <f aca="false">IF($T41&lt;&gt;"TAK",0,IF($O41="NIEPOLICZONE",0,IFERROR(ROUND(IF($K41="",$J41,$K41)*IF($N41="",$M41,$N41),2),0)))</f>
        <v>0</v>
      </c>
    </row>
    <row r="42" customFormat="false" ht="18" hidden="false" customHeight="true" outlineLevel="0" collapsed="false">
      <c r="A42" s="25" t="s">
        <v>508</v>
      </c>
      <c r="B42" s="33"/>
      <c r="C42" s="33"/>
      <c r="D42" s="33"/>
      <c r="E42" s="33"/>
      <c r="F42" s="33"/>
      <c r="G42" s="33"/>
      <c r="H42" s="33"/>
      <c r="I42" s="30"/>
      <c r="J42" s="30"/>
      <c r="K42" s="30"/>
      <c r="L42" s="30"/>
      <c r="M42" s="30"/>
      <c r="N42" s="30"/>
      <c r="O42" s="33"/>
      <c r="P42" s="33"/>
      <c r="Q42" s="33"/>
      <c r="R42" s="33"/>
      <c r="S42" s="33"/>
      <c r="T42" s="33"/>
      <c r="U42" s="33"/>
      <c r="V42" s="35" t="n">
        <f aca="false">IF($T42&lt;&gt;"TAK",0,IF($O42="NIEPOLICZONE",0,IFERROR(ROUND(IF($I42="",$J42,$I42)*IF($L42="",$M42,$L42),2),0)))</f>
        <v>0</v>
      </c>
      <c r="W42" s="46" t="n">
        <f aca="false">IF($T42&lt;&gt;"TAK",0,IF($O42="NIEPOLICZONE",0,IFERROR(ROUND($J42*$M42,2),0)))</f>
        <v>0</v>
      </c>
      <c r="X42" s="35" t="n">
        <f aca="false">IF($T42&lt;&gt;"TAK",0,IF($O42="NIEPOLICZONE",0,IFERROR(ROUND(IF($K42="",$J42,$K42)*IF($N42="",$M42,$N42),2),0)))</f>
        <v>0</v>
      </c>
    </row>
    <row r="43" customFormat="false" ht="18" hidden="false" customHeight="true" outlineLevel="0" collapsed="false">
      <c r="A43" s="25" t="s">
        <v>509</v>
      </c>
      <c r="B43" s="33"/>
      <c r="C43" s="33"/>
      <c r="D43" s="33"/>
      <c r="E43" s="33"/>
      <c r="F43" s="33"/>
      <c r="G43" s="33"/>
      <c r="H43" s="33"/>
      <c r="I43" s="30"/>
      <c r="J43" s="30"/>
      <c r="K43" s="30"/>
      <c r="L43" s="30"/>
      <c r="M43" s="30"/>
      <c r="N43" s="30"/>
      <c r="O43" s="33"/>
      <c r="P43" s="33"/>
      <c r="Q43" s="33"/>
      <c r="R43" s="33"/>
      <c r="S43" s="33"/>
      <c r="T43" s="33"/>
      <c r="U43" s="33"/>
      <c r="V43" s="35" t="n">
        <f aca="false">IF($T43&lt;&gt;"TAK",0,IF($O43="NIEPOLICZONE",0,IFERROR(ROUND(IF($I43="",$J43,$I43)*IF($L43="",$M43,$L43),2),0)))</f>
        <v>0</v>
      </c>
      <c r="W43" s="46" t="n">
        <f aca="false">IF($T43&lt;&gt;"TAK",0,IF($O43="NIEPOLICZONE",0,IFERROR(ROUND($J43*$M43,2),0)))</f>
        <v>0</v>
      </c>
      <c r="X43" s="35" t="n">
        <f aca="false">IF($T43&lt;&gt;"TAK",0,IF($O43="NIEPOLICZONE",0,IFERROR(ROUND(IF($K43="",$J43,$K43)*IF($N43="",$M43,$N43),2),0)))</f>
        <v>0</v>
      </c>
    </row>
    <row r="44" customFormat="false" ht="18" hidden="false" customHeight="true" outlineLevel="0" collapsed="false">
      <c r="A44" s="25" t="s">
        <v>510</v>
      </c>
      <c r="B44" s="33"/>
      <c r="C44" s="33"/>
      <c r="D44" s="33"/>
      <c r="E44" s="33"/>
      <c r="F44" s="33"/>
      <c r="G44" s="33"/>
      <c r="H44" s="33"/>
      <c r="I44" s="30"/>
      <c r="J44" s="30"/>
      <c r="K44" s="30"/>
      <c r="L44" s="30"/>
      <c r="M44" s="30"/>
      <c r="N44" s="30"/>
      <c r="O44" s="33"/>
      <c r="P44" s="33"/>
      <c r="Q44" s="33"/>
      <c r="R44" s="33"/>
      <c r="S44" s="33"/>
      <c r="T44" s="33"/>
      <c r="U44" s="33"/>
      <c r="V44" s="35" t="n">
        <f aca="false">IF($T44&lt;&gt;"TAK",0,IF($O44="NIEPOLICZONE",0,IFERROR(ROUND(IF($I44="",$J44,$I44)*IF($L44="",$M44,$L44),2),0)))</f>
        <v>0</v>
      </c>
      <c r="W44" s="46" t="n">
        <f aca="false">IF($T44&lt;&gt;"TAK",0,IF($O44="NIEPOLICZONE",0,IFERROR(ROUND($J44*$M44,2),0)))</f>
        <v>0</v>
      </c>
      <c r="X44" s="35" t="n">
        <f aca="false">IF($T44&lt;&gt;"TAK",0,IF($O44="NIEPOLICZONE",0,IFERROR(ROUND(IF($K44="",$J44,$K44)*IF($N44="",$M44,$N44),2),0)))</f>
        <v>0</v>
      </c>
    </row>
    <row r="45" customFormat="false" ht="18" hidden="false" customHeight="true" outlineLevel="0" collapsed="false">
      <c r="A45" s="25" t="s">
        <v>511</v>
      </c>
      <c r="B45" s="33"/>
      <c r="C45" s="33"/>
      <c r="D45" s="33"/>
      <c r="E45" s="33"/>
      <c r="F45" s="33"/>
      <c r="G45" s="33"/>
      <c r="H45" s="33"/>
      <c r="I45" s="30"/>
      <c r="J45" s="30"/>
      <c r="K45" s="30"/>
      <c r="L45" s="30"/>
      <c r="M45" s="30"/>
      <c r="N45" s="30"/>
      <c r="O45" s="33"/>
      <c r="P45" s="33"/>
      <c r="Q45" s="33"/>
      <c r="R45" s="33"/>
      <c r="S45" s="33"/>
      <c r="T45" s="33"/>
      <c r="U45" s="33"/>
      <c r="V45" s="35" t="n">
        <f aca="false">IF($T45&lt;&gt;"TAK",0,IF($O45="NIEPOLICZONE",0,IFERROR(ROUND(IF($I45="",$J45,$I45)*IF($L45="",$M45,$L45),2),0)))</f>
        <v>0</v>
      </c>
      <c r="W45" s="46" t="n">
        <f aca="false">IF($T45&lt;&gt;"TAK",0,IF($O45="NIEPOLICZONE",0,IFERROR(ROUND($J45*$M45,2),0)))</f>
        <v>0</v>
      </c>
      <c r="X45" s="35" t="n">
        <f aca="false">IF($T45&lt;&gt;"TAK",0,IF($O45="NIEPOLICZONE",0,IFERROR(ROUND(IF($K45="",$J45,$K45)*IF($N45="",$M45,$N45),2),0)))</f>
        <v>0</v>
      </c>
    </row>
    <row r="46" customFormat="false" ht="18" hidden="false" customHeight="true" outlineLevel="0" collapsed="false">
      <c r="A46" s="25" t="s">
        <v>512</v>
      </c>
      <c r="B46" s="33"/>
      <c r="C46" s="33"/>
      <c r="D46" s="33"/>
      <c r="E46" s="33"/>
      <c r="F46" s="33"/>
      <c r="G46" s="33"/>
      <c r="H46" s="33"/>
      <c r="I46" s="30"/>
      <c r="J46" s="30"/>
      <c r="K46" s="30"/>
      <c r="L46" s="30"/>
      <c r="M46" s="30"/>
      <c r="N46" s="30"/>
      <c r="O46" s="33"/>
      <c r="P46" s="33"/>
      <c r="Q46" s="33"/>
      <c r="R46" s="33"/>
      <c r="S46" s="33"/>
      <c r="T46" s="33"/>
      <c r="U46" s="33"/>
      <c r="V46" s="35" t="n">
        <f aca="false">IF($T46&lt;&gt;"TAK",0,IF($O46="NIEPOLICZONE",0,IFERROR(ROUND(IF($I46="",$J46,$I46)*IF($L46="",$M46,$L46),2),0)))</f>
        <v>0</v>
      </c>
      <c r="W46" s="46" t="n">
        <f aca="false">IF($T46&lt;&gt;"TAK",0,IF($O46="NIEPOLICZONE",0,IFERROR(ROUND($J46*$M46,2),0)))</f>
        <v>0</v>
      </c>
      <c r="X46" s="35" t="n">
        <f aca="false">IF($T46&lt;&gt;"TAK",0,IF($O46="NIEPOLICZONE",0,IFERROR(ROUND(IF($K46="",$J46,$K46)*IF($N46="",$M46,$N46),2),0)))</f>
        <v>0</v>
      </c>
    </row>
    <row r="47" customFormat="false" ht="18" hidden="false" customHeight="true" outlineLevel="0" collapsed="false">
      <c r="A47" s="25" t="s">
        <v>513</v>
      </c>
      <c r="B47" s="33"/>
      <c r="C47" s="33"/>
      <c r="D47" s="33"/>
      <c r="E47" s="33"/>
      <c r="F47" s="33"/>
      <c r="G47" s="33"/>
      <c r="H47" s="33"/>
      <c r="I47" s="30"/>
      <c r="J47" s="30"/>
      <c r="K47" s="30"/>
      <c r="L47" s="30"/>
      <c r="M47" s="30"/>
      <c r="N47" s="30"/>
      <c r="O47" s="33"/>
      <c r="P47" s="33"/>
      <c r="Q47" s="33"/>
      <c r="R47" s="33"/>
      <c r="S47" s="33"/>
      <c r="T47" s="33"/>
      <c r="U47" s="33"/>
      <c r="V47" s="35" t="n">
        <f aca="false">IF($T47&lt;&gt;"TAK",0,IF($O47="NIEPOLICZONE",0,IFERROR(ROUND(IF($I47="",$J47,$I47)*IF($L47="",$M47,$L47),2),0)))</f>
        <v>0</v>
      </c>
      <c r="W47" s="46" t="n">
        <f aca="false">IF($T47&lt;&gt;"TAK",0,IF($O47="NIEPOLICZONE",0,IFERROR(ROUND($J47*$M47,2),0)))</f>
        <v>0</v>
      </c>
      <c r="X47" s="35" t="n">
        <f aca="false">IF($T47&lt;&gt;"TAK",0,IF($O47="NIEPOLICZONE",0,IFERROR(ROUND(IF($K47="",$J47,$K47)*IF($N47="",$M47,$N47),2),0)))</f>
        <v>0</v>
      </c>
    </row>
    <row r="48" customFormat="false" ht="18" hidden="false" customHeight="true" outlineLevel="0" collapsed="false">
      <c r="A48" s="25" t="s">
        <v>514</v>
      </c>
      <c r="B48" s="33"/>
      <c r="C48" s="33"/>
      <c r="D48" s="33"/>
      <c r="E48" s="33"/>
      <c r="F48" s="33"/>
      <c r="G48" s="33"/>
      <c r="H48" s="33"/>
      <c r="I48" s="30"/>
      <c r="J48" s="30"/>
      <c r="K48" s="30"/>
      <c r="L48" s="30"/>
      <c r="M48" s="30"/>
      <c r="N48" s="30"/>
      <c r="O48" s="33"/>
      <c r="P48" s="33"/>
      <c r="Q48" s="33"/>
      <c r="R48" s="33"/>
      <c r="S48" s="33"/>
      <c r="T48" s="33"/>
      <c r="U48" s="33"/>
      <c r="V48" s="35" t="n">
        <f aca="false">IF($T48&lt;&gt;"TAK",0,IF($O48="NIEPOLICZONE",0,IFERROR(ROUND(IF($I48="",$J48,$I48)*IF($L48="",$M48,$L48),2),0)))</f>
        <v>0</v>
      </c>
      <c r="W48" s="46" t="n">
        <f aca="false">IF($T48&lt;&gt;"TAK",0,IF($O48="NIEPOLICZONE",0,IFERROR(ROUND($J48*$M48,2),0)))</f>
        <v>0</v>
      </c>
      <c r="X48" s="35" t="n">
        <f aca="false">IF($T48&lt;&gt;"TAK",0,IF($O48="NIEPOLICZONE",0,IFERROR(ROUND(IF($K48="",$J48,$K48)*IF($N48="",$M48,$N48),2),0)))</f>
        <v>0</v>
      </c>
    </row>
    <row r="49" customFormat="false" ht="18" hidden="false" customHeight="true" outlineLevel="0" collapsed="false">
      <c r="A49" s="25" t="s">
        <v>515</v>
      </c>
      <c r="B49" s="33"/>
      <c r="C49" s="33"/>
      <c r="D49" s="33"/>
      <c r="E49" s="33"/>
      <c r="F49" s="33"/>
      <c r="G49" s="33"/>
      <c r="H49" s="33"/>
      <c r="I49" s="30"/>
      <c r="J49" s="30"/>
      <c r="K49" s="30"/>
      <c r="L49" s="30"/>
      <c r="M49" s="30"/>
      <c r="N49" s="30"/>
      <c r="O49" s="33"/>
      <c r="P49" s="33"/>
      <c r="Q49" s="33"/>
      <c r="R49" s="33"/>
      <c r="S49" s="33"/>
      <c r="T49" s="33"/>
      <c r="U49" s="33"/>
      <c r="V49" s="35" t="n">
        <f aca="false">IF($T49&lt;&gt;"TAK",0,IF($O49="NIEPOLICZONE",0,IFERROR(ROUND(IF($I49="",$J49,$I49)*IF($L49="",$M49,$L49),2),0)))</f>
        <v>0</v>
      </c>
      <c r="W49" s="46" t="n">
        <f aca="false">IF($T49&lt;&gt;"TAK",0,IF($O49="NIEPOLICZONE",0,IFERROR(ROUND($J49*$M49,2),0)))</f>
        <v>0</v>
      </c>
      <c r="X49" s="35" t="n">
        <f aca="false">IF($T49&lt;&gt;"TAK",0,IF($O49="NIEPOLICZONE",0,IFERROR(ROUND(IF($K49="",$J49,$K49)*IF($N49="",$M49,$N49),2),0)))</f>
        <v>0</v>
      </c>
    </row>
    <row r="50" customFormat="false" ht="18" hidden="false" customHeight="true" outlineLevel="0" collapsed="false">
      <c r="A50" s="25" t="s">
        <v>516</v>
      </c>
      <c r="B50" s="33"/>
      <c r="C50" s="33"/>
      <c r="D50" s="33"/>
      <c r="E50" s="33"/>
      <c r="F50" s="33"/>
      <c r="G50" s="33"/>
      <c r="H50" s="33"/>
      <c r="I50" s="30"/>
      <c r="J50" s="30"/>
      <c r="K50" s="30"/>
      <c r="L50" s="30"/>
      <c r="M50" s="30"/>
      <c r="N50" s="30"/>
      <c r="O50" s="33"/>
      <c r="P50" s="33"/>
      <c r="Q50" s="33"/>
      <c r="R50" s="33"/>
      <c r="S50" s="33"/>
      <c r="T50" s="33"/>
      <c r="U50" s="33"/>
      <c r="V50" s="35" t="n">
        <f aca="false">IF($T50&lt;&gt;"TAK",0,IF($O50="NIEPOLICZONE",0,IFERROR(ROUND(IF($I50="",$J50,$I50)*IF($L50="",$M50,$L50),2),0)))</f>
        <v>0</v>
      </c>
      <c r="W50" s="46" t="n">
        <f aca="false">IF($T50&lt;&gt;"TAK",0,IF($O50="NIEPOLICZONE",0,IFERROR(ROUND($J50*$M50,2),0)))</f>
        <v>0</v>
      </c>
      <c r="X50" s="35" t="n">
        <f aca="false">IF($T50&lt;&gt;"TAK",0,IF($O50="NIEPOLICZONE",0,IFERROR(ROUND(IF($K50="",$J50,$K50)*IF($N50="",$M50,$N50),2),0)))</f>
        <v>0</v>
      </c>
    </row>
    <row r="51" customFormat="false" ht="18" hidden="false" customHeight="true" outlineLevel="0" collapsed="false">
      <c r="A51" s="25" t="s">
        <v>517</v>
      </c>
      <c r="B51" s="33"/>
      <c r="C51" s="33"/>
      <c r="D51" s="33"/>
      <c r="E51" s="33"/>
      <c r="F51" s="33"/>
      <c r="G51" s="33"/>
      <c r="H51" s="33"/>
      <c r="I51" s="30"/>
      <c r="J51" s="30"/>
      <c r="K51" s="30"/>
      <c r="L51" s="30"/>
      <c r="M51" s="30"/>
      <c r="N51" s="30"/>
      <c r="O51" s="33"/>
      <c r="P51" s="33"/>
      <c r="Q51" s="33"/>
      <c r="R51" s="33"/>
      <c r="S51" s="33"/>
      <c r="T51" s="33"/>
      <c r="U51" s="33"/>
      <c r="V51" s="35" t="n">
        <f aca="false">IF($T51&lt;&gt;"TAK",0,IF($O51="NIEPOLICZONE",0,IFERROR(ROUND(IF($I51="",$J51,$I51)*IF($L51="",$M51,$L51),2),0)))</f>
        <v>0</v>
      </c>
      <c r="W51" s="46" t="n">
        <f aca="false">IF($T51&lt;&gt;"TAK",0,IF($O51="NIEPOLICZONE",0,IFERROR(ROUND($J51*$M51,2),0)))</f>
        <v>0</v>
      </c>
      <c r="X51" s="35" t="n">
        <f aca="false">IF($T51&lt;&gt;"TAK",0,IF($O51="NIEPOLICZONE",0,IFERROR(ROUND(IF($K51="",$J51,$K51)*IF($N51="",$M51,$N51),2),0)))</f>
        <v>0</v>
      </c>
    </row>
    <row r="52" customFormat="false" ht="18" hidden="false" customHeight="true" outlineLevel="0" collapsed="false">
      <c r="A52" s="25" t="s">
        <v>518</v>
      </c>
      <c r="B52" s="33"/>
      <c r="C52" s="33"/>
      <c r="D52" s="33"/>
      <c r="E52" s="33"/>
      <c r="F52" s="33"/>
      <c r="G52" s="33"/>
      <c r="H52" s="33"/>
      <c r="I52" s="30"/>
      <c r="J52" s="30"/>
      <c r="K52" s="30"/>
      <c r="L52" s="30"/>
      <c r="M52" s="30"/>
      <c r="N52" s="30"/>
      <c r="O52" s="33"/>
      <c r="P52" s="33"/>
      <c r="Q52" s="33"/>
      <c r="R52" s="33"/>
      <c r="S52" s="33"/>
      <c r="T52" s="33"/>
      <c r="U52" s="33"/>
      <c r="V52" s="35" t="n">
        <f aca="false">IF($T52&lt;&gt;"TAK",0,IF($O52="NIEPOLICZONE",0,IFERROR(ROUND(IF($I52="",$J52,$I52)*IF($L52="",$M52,$L52),2),0)))</f>
        <v>0</v>
      </c>
      <c r="W52" s="46" t="n">
        <f aca="false">IF($T52&lt;&gt;"TAK",0,IF($O52="NIEPOLICZONE",0,IFERROR(ROUND($J52*$M52,2),0)))</f>
        <v>0</v>
      </c>
      <c r="X52" s="35" t="n">
        <f aca="false">IF($T52&lt;&gt;"TAK",0,IF($O52="NIEPOLICZONE",0,IFERROR(ROUND(IF($K52="",$J52,$K52)*IF($N52="",$M52,$N52),2),0)))</f>
        <v>0</v>
      </c>
    </row>
    <row r="53" customFormat="false" ht="18" hidden="false" customHeight="true" outlineLevel="0" collapsed="false">
      <c r="A53" s="25" t="s">
        <v>519</v>
      </c>
      <c r="B53" s="33"/>
      <c r="C53" s="33"/>
      <c r="D53" s="33"/>
      <c r="E53" s="33"/>
      <c r="F53" s="33"/>
      <c r="G53" s="33"/>
      <c r="H53" s="33"/>
      <c r="I53" s="30"/>
      <c r="J53" s="30"/>
      <c r="K53" s="30"/>
      <c r="L53" s="30"/>
      <c r="M53" s="30"/>
      <c r="N53" s="30"/>
      <c r="O53" s="33"/>
      <c r="P53" s="33"/>
      <c r="Q53" s="33"/>
      <c r="R53" s="33"/>
      <c r="S53" s="33"/>
      <c r="T53" s="33"/>
      <c r="U53" s="33"/>
      <c r="V53" s="35" t="n">
        <f aca="false">IF($T53&lt;&gt;"TAK",0,IF($O53="NIEPOLICZONE",0,IFERROR(ROUND(IF($I53="",$J53,$I53)*IF($L53="",$M53,$L53),2),0)))</f>
        <v>0</v>
      </c>
      <c r="W53" s="46" t="n">
        <f aca="false">IF($T53&lt;&gt;"TAK",0,IF($O53="NIEPOLICZONE",0,IFERROR(ROUND($J53*$M53,2),0)))</f>
        <v>0</v>
      </c>
      <c r="X53" s="35" t="n">
        <f aca="false">IF($T53&lt;&gt;"TAK",0,IF($O53="NIEPOLICZONE",0,IFERROR(ROUND(IF($K53="",$J53,$K53)*IF($N53="",$M53,$N53),2),0)))</f>
        <v>0</v>
      </c>
    </row>
    <row r="54" customFormat="false" ht="18" hidden="false" customHeight="true" outlineLevel="0" collapsed="false">
      <c r="A54" s="25" t="s">
        <v>520</v>
      </c>
      <c r="B54" s="33"/>
      <c r="C54" s="33"/>
      <c r="D54" s="33"/>
      <c r="E54" s="33"/>
      <c r="F54" s="33"/>
      <c r="G54" s="33"/>
      <c r="H54" s="33"/>
      <c r="I54" s="30"/>
      <c r="J54" s="30"/>
      <c r="K54" s="30"/>
      <c r="L54" s="30"/>
      <c r="M54" s="30"/>
      <c r="N54" s="30"/>
      <c r="O54" s="33"/>
      <c r="P54" s="33"/>
      <c r="Q54" s="33"/>
      <c r="R54" s="33"/>
      <c r="S54" s="33"/>
      <c r="T54" s="33"/>
      <c r="U54" s="33"/>
      <c r="V54" s="35" t="n">
        <f aca="false">IF($T54&lt;&gt;"TAK",0,IF($O54="NIEPOLICZONE",0,IFERROR(ROUND(IF($I54="",$J54,$I54)*IF($L54="",$M54,$L54),2),0)))</f>
        <v>0</v>
      </c>
      <c r="W54" s="46" t="n">
        <f aca="false">IF($T54&lt;&gt;"TAK",0,IF($O54="NIEPOLICZONE",0,IFERROR(ROUND($J54*$M54,2),0)))</f>
        <v>0</v>
      </c>
      <c r="X54" s="35" t="n">
        <f aca="false">IF($T54&lt;&gt;"TAK",0,IF($O54="NIEPOLICZONE",0,IFERROR(ROUND(IF($K54="",$J54,$K54)*IF($N54="",$M54,$N54),2),0)))</f>
        <v>0</v>
      </c>
    </row>
    <row r="55" customFormat="false" ht="18" hidden="false" customHeight="true" outlineLevel="0" collapsed="false">
      <c r="A55" s="25" t="s">
        <v>521</v>
      </c>
      <c r="B55" s="33"/>
      <c r="C55" s="33"/>
      <c r="D55" s="33"/>
      <c r="E55" s="33"/>
      <c r="F55" s="33"/>
      <c r="G55" s="33"/>
      <c r="H55" s="33"/>
      <c r="I55" s="30"/>
      <c r="J55" s="30"/>
      <c r="K55" s="30"/>
      <c r="L55" s="30"/>
      <c r="M55" s="30"/>
      <c r="N55" s="30"/>
      <c r="O55" s="33"/>
      <c r="P55" s="33"/>
      <c r="Q55" s="33"/>
      <c r="R55" s="33"/>
      <c r="S55" s="33"/>
      <c r="T55" s="33"/>
      <c r="U55" s="33"/>
      <c r="V55" s="35" t="n">
        <f aca="false">IF($T55&lt;&gt;"TAK",0,IF($O55="NIEPOLICZONE",0,IFERROR(ROUND(IF($I55="",$J55,$I55)*IF($L55="",$M55,$L55),2),0)))</f>
        <v>0</v>
      </c>
      <c r="W55" s="46" t="n">
        <f aca="false">IF($T55&lt;&gt;"TAK",0,IF($O55="NIEPOLICZONE",0,IFERROR(ROUND($J55*$M55,2),0)))</f>
        <v>0</v>
      </c>
      <c r="X55" s="35" t="n">
        <f aca="false">IF($T55&lt;&gt;"TAK",0,IF($O55="NIEPOLICZONE",0,IFERROR(ROUND(IF($K55="",$J55,$K55)*IF($N55="",$M55,$N55),2),0)))</f>
        <v>0</v>
      </c>
    </row>
    <row r="56" customFormat="false" ht="18" hidden="false" customHeight="true" outlineLevel="0" collapsed="false">
      <c r="A56" s="25" t="s">
        <v>522</v>
      </c>
      <c r="B56" s="33"/>
      <c r="C56" s="33"/>
      <c r="D56" s="33"/>
      <c r="E56" s="33"/>
      <c r="F56" s="33"/>
      <c r="G56" s="33"/>
      <c r="H56" s="33"/>
      <c r="I56" s="30"/>
      <c r="J56" s="30"/>
      <c r="K56" s="30"/>
      <c r="L56" s="30"/>
      <c r="M56" s="30"/>
      <c r="N56" s="30"/>
      <c r="O56" s="33"/>
      <c r="P56" s="33"/>
      <c r="Q56" s="33"/>
      <c r="R56" s="33"/>
      <c r="S56" s="33"/>
      <c r="T56" s="33"/>
      <c r="U56" s="33"/>
      <c r="V56" s="35" t="n">
        <f aca="false">IF($T56&lt;&gt;"TAK",0,IF($O56="NIEPOLICZONE",0,IFERROR(ROUND(IF($I56="",$J56,$I56)*IF($L56="",$M56,$L56),2),0)))</f>
        <v>0</v>
      </c>
      <c r="W56" s="46" t="n">
        <f aca="false">IF($T56&lt;&gt;"TAK",0,IF($O56="NIEPOLICZONE",0,IFERROR(ROUND($J56*$M56,2),0)))</f>
        <v>0</v>
      </c>
      <c r="X56" s="35" t="n">
        <f aca="false">IF($T56&lt;&gt;"TAK",0,IF($O56="NIEPOLICZONE",0,IFERROR(ROUND(IF($K56="",$J56,$K56)*IF($N56="",$M56,$N56),2),0)))</f>
        <v>0</v>
      </c>
    </row>
    <row r="57" customFormat="false" ht="18" hidden="false" customHeight="true" outlineLevel="0" collapsed="false">
      <c r="A57" s="25" t="s">
        <v>523</v>
      </c>
      <c r="B57" s="33"/>
      <c r="C57" s="33"/>
      <c r="D57" s="33"/>
      <c r="E57" s="33"/>
      <c r="F57" s="33"/>
      <c r="G57" s="33"/>
      <c r="H57" s="33"/>
      <c r="I57" s="30"/>
      <c r="J57" s="30"/>
      <c r="K57" s="30"/>
      <c r="L57" s="30"/>
      <c r="M57" s="30"/>
      <c r="N57" s="30"/>
      <c r="O57" s="33"/>
      <c r="P57" s="33"/>
      <c r="Q57" s="33"/>
      <c r="R57" s="33"/>
      <c r="S57" s="33"/>
      <c r="T57" s="33"/>
      <c r="U57" s="33"/>
      <c r="V57" s="35" t="n">
        <f aca="false">IF($T57&lt;&gt;"TAK",0,IF($O57="NIEPOLICZONE",0,IFERROR(ROUND(IF($I57="",$J57,$I57)*IF($L57="",$M57,$L57),2),0)))</f>
        <v>0</v>
      </c>
      <c r="W57" s="46" t="n">
        <f aca="false">IF($T57&lt;&gt;"TAK",0,IF($O57="NIEPOLICZONE",0,IFERROR(ROUND($J57*$M57,2),0)))</f>
        <v>0</v>
      </c>
      <c r="X57" s="35" t="n">
        <f aca="false">IF($T57&lt;&gt;"TAK",0,IF($O57="NIEPOLICZONE",0,IFERROR(ROUND(IF($K57="",$J57,$K57)*IF($N57="",$M57,$N57),2),0)))</f>
        <v>0</v>
      </c>
    </row>
    <row r="58" customFormat="false" ht="18" hidden="false" customHeight="true" outlineLevel="0" collapsed="false">
      <c r="A58" s="25" t="s">
        <v>524</v>
      </c>
      <c r="B58" s="33"/>
      <c r="C58" s="33"/>
      <c r="D58" s="33"/>
      <c r="E58" s="33"/>
      <c r="F58" s="33"/>
      <c r="G58" s="33"/>
      <c r="H58" s="33"/>
      <c r="I58" s="30"/>
      <c r="J58" s="30"/>
      <c r="K58" s="30"/>
      <c r="L58" s="30"/>
      <c r="M58" s="30"/>
      <c r="N58" s="30"/>
      <c r="O58" s="33"/>
      <c r="P58" s="33"/>
      <c r="Q58" s="33"/>
      <c r="R58" s="33"/>
      <c r="S58" s="33"/>
      <c r="T58" s="33"/>
      <c r="U58" s="33"/>
      <c r="V58" s="35" t="n">
        <f aca="false">IF($T58&lt;&gt;"TAK",0,IF($O58="NIEPOLICZONE",0,IFERROR(ROUND(IF($I58="",$J58,$I58)*IF($L58="",$M58,$L58),2),0)))</f>
        <v>0</v>
      </c>
      <c r="W58" s="46" t="n">
        <f aca="false">IF($T58&lt;&gt;"TAK",0,IF($O58="NIEPOLICZONE",0,IFERROR(ROUND($J58*$M58,2),0)))</f>
        <v>0</v>
      </c>
      <c r="X58" s="35" t="n">
        <f aca="false">IF($T58&lt;&gt;"TAK",0,IF($O58="NIEPOLICZONE",0,IFERROR(ROUND(IF($K58="",$J58,$K58)*IF($N58="",$M58,$N58),2),0)))</f>
        <v>0</v>
      </c>
    </row>
    <row r="59" customFormat="false" ht="18" hidden="false" customHeight="true" outlineLevel="0" collapsed="false">
      <c r="A59" s="25" t="s">
        <v>525</v>
      </c>
      <c r="B59" s="33"/>
      <c r="C59" s="33"/>
      <c r="D59" s="33"/>
      <c r="E59" s="33"/>
      <c r="F59" s="33"/>
      <c r="G59" s="33"/>
      <c r="H59" s="33"/>
      <c r="I59" s="30"/>
      <c r="J59" s="30"/>
      <c r="K59" s="30"/>
      <c r="L59" s="30"/>
      <c r="M59" s="30"/>
      <c r="N59" s="30"/>
      <c r="O59" s="33"/>
      <c r="P59" s="33"/>
      <c r="Q59" s="33"/>
      <c r="R59" s="33"/>
      <c r="S59" s="33"/>
      <c r="T59" s="33"/>
      <c r="U59" s="33"/>
      <c r="V59" s="35" t="n">
        <f aca="false">IF($T59&lt;&gt;"TAK",0,IF($O59="NIEPOLICZONE",0,IFERROR(ROUND(IF($I59="",$J59,$I59)*IF($L59="",$M59,$L59),2),0)))</f>
        <v>0</v>
      </c>
      <c r="W59" s="46" t="n">
        <f aca="false">IF($T59&lt;&gt;"TAK",0,IF($O59="NIEPOLICZONE",0,IFERROR(ROUND($J59*$M59,2),0)))</f>
        <v>0</v>
      </c>
      <c r="X59" s="35" t="n">
        <f aca="false">IF($T59&lt;&gt;"TAK",0,IF($O59="NIEPOLICZONE",0,IFERROR(ROUND(IF($K59="",$J59,$K59)*IF($N59="",$M59,$N59),2),0)))</f>
        <v>0</v>
      </c>
    </row>
    <row r="60" customFormat="false" ht="18" hidden="false" customHeight="true" outlineLevel="0" collapsed="false">
      <c r="A60" s="25" t="s">
        <v>526</v>
      </c>
      <c r="B60" s="33"/>
      <c r="C60" s="33"/>
      <c r="D60" s="33"/>
      <c r="E60" s="33"/>
      <c r="F60" s="33"/>
      <c r="G60" s="33"/>
      <c r="H60" s="33"/>
      <c r="I60" s="30"/>
      <c r="J60" s="30"/>
      <c r="K60" s="30"/>
      <c r="L60" s="30"/>
      <c r="M60" s="30"/>
      <c r="N60" s="30"/>
      <c r="O60" s="33"/>
      <c r="P60" s="33"/>
      <c r="Q60" s="33"/>
      <c r="R60" s="33"/>
      <c r="S60" s="33"/>
      <c r="T60" s="33"/>
      <c r="U60" s="33"/>
      <c r="V60" s="35" t="n">
        <f aca="false">IF($T60&lt;&gt;"TAK",0,IF($O60="NIEPOLICZONE",0,IFERROR(ROUND(IF($I60="",$J60,$I60)*IF($L60="",$M60,$L60),2),0)))</f>
        <v>0</v>
      </c>
      <c r="W60" s="46" t="n">
        <f aca="false">IF($T60&lt;&gt;"TAK",0,IF($O60="NIEPOLICZONE",0,IFERROR(ROUND($J60*$M60,2),0)))</f>
        <v>0</v>
      </c>
      <c r="X60" s="35" t="n">
        <f aca="false">IF($T60&lt;&gt;"TAK",0,IF($O60="NIEPOLICZONE",0,IFERROR(ROUND(IF($K60="",$J60,$K60)*IF($N60="",$M60,$N60),2),0)))</f>
        <v>0</v>
      </c>
    </row>
    <row r="61" customFormat="false" ht="18" hidden="false" customHeight="true" outlineLevel="0" collapsed="false">
      <c r="A61" s="25" t="s">
        <v>527</v>
      </c>
      <c r="B61" s="33"/>
      <c r="C61" s="33"/>
      <c r="D61" s="33"/>
      <c r="E61" s="33"/>
      <c r="F61" s="33"/>
      <c r="G61" s="33"/>
      <c r="H61" s="33"/>
      <c r="I61" s="30"/>
      <c r="J61" s="30"/>
      <c r="K61" s="30"/>
      <c r="L61" s="30"/>
      <c r="M61" s="30"/>
      <c r="N61" s="30"/>
      <c r="O61" s="33"/>
      <c r="P61" s="33"/>
      <c r="Q61" s="33"/>
      <c r="R61" s="33"/>
      <c r="S61" s="33"/>
      <c r="T61" s="33"/>
      <c r="U61" s="33"/>
      <c r="V61" s="35" t="n">
        <f aca="false">IF($T61&lt;&gt;"TAK",0,IF($O61="NIEPOLICZONE",0,IFERROR(ROUND(IF($I61="",$J61,$I61)*IF($L61="",$M61,$L61),2),0)))</f>
        <v>0</v>
      </c>
      <c r="W61" s="46" t="n">
        <f aca="false">IF($T61&lt;&gt;"TAK",0,IF($O61="NIEPOLICZONE",0,IFERROR(ROUND($J61*$M61,2),0)))</f>
        <v>0</v>
      </c>
      <c r="X61" s="35" t="n">
        <f aca="false">IF($T61&lt;&gt;"TAK",0,IF($O61="NIEPOLICZONE",0,IFERROR(ROUND(IF($K61="",$J61,$K61)*IF($N61="",$M61,$N61),2),0)))</f>
        <v>0</v>
      </c>
    </row>
    <row r="62" customFormat="false" ht="18" hidden="false" customHeight="true" outlineLevel="0" collapsed="false">
      <c r="A62" s="25" t="s">
        <v>528</v>
      </c>
      <c r="B62" s="33"/>
      <c r="C62" s="33"/>
      <c r="D62" s="33"/>
      <c r="E62" s="33"/>
      <c r="F62" s="33"/>
      <c r="G62" s="33"/>
      <c r="H62" s="33"/>
      <c r="I62" s="30"/>
      <c r="J62" s="30"/>
      <c r="K62" s="30"/>
      <c r="L62" s="30"/>
      <c r="M62" s="30"/>
      <c r="N62" s="30"/>
      <c r="O62" s="33"/>
      <c r="P62" s="33"/>
      <c r="Q62" s="33"/>
      <c r="R62" s="33"/>
      <c r="S62" s="33"/>
      <c r="T62" s="33"/>
      <c r="U62" s="33"/>
      <c r="V62" s="35" t="n">
        <f aca="false">IF($T62&lt;&gt;"TAK",0,IF($O62="NIEPOLICZONE",0,IFERROR(ROUND(IF($I62="",$J62,$I62)*IF($L62="",$M62,$L62),2),0)))</f>
        <v>0</v>
      </c>
      <c r="W62" s="46" t="n">
        <f aca="false">IF($T62&lt;&gt;"TAK",0,IF($O62="NIEPOLICZONE",0,IFERROR(ROUND($J62*$M62,2),0)))</f>
        <v>0</v>
      </c>
      <c r="X62" s="35" t="n">
        <f aca="false">IF($T62&lt;&gt;"TAK",0,IF($O62="NIEPOLICZONE",0,IFERROR(ROUND(IF($K62="",$J62,$K62)*IF($N62="",$M62,$N62),2),0)))</f>
        <v>0</v>
      </c>
    </row>
    <row r="63" customFormat="false" ht="18" hidden="false" customHeight="true" outlineLevel="0" collapsed="false">
      <c r="A63" s="25" t="s">
        <v>529</v>
      </c>
      <c r="B63" s="33"/>
      <c r="C63" s="33"/>
      <c r="D63" s="33"/>
      <c r="E63" s="33"/>
      <c r="F63" s="33"/>
      <c r="G63" s="33"/>
      <c r="H63" s="33"/>
      <c r="I63" s="30"/>
      <c r="J63" s="30"/>
      <c r="K63" s="30"/>
      <c r="L63" s="30"/>
      <c r="M63" s="30"/>
      <c r="N63" s="30"/>
      <c r="O63" s="33"/>
      <c r="P63" s="33"/>
      <c r="Q63" s="33"/>
      <c r="R63" s="33"/>
      <c r="S63" s="33"/>
      <c r="T63" s="33"/>
      <c r="U63" s="33"/>
      <c r="V63" s="35" t="n">
        <f aca="false">IF($T63&lt;&gt;"TAK",0,IF($O63="NIEPOLICZONE",0,IFERROR(ROUND(IF($I63="",$J63,$I63)*IF($L63="",$M63,$L63),2),0)))</f>
        <v>0</v>
      </c>
      <c r="W63" s="46" t="n">
        <f aca="false">IF($T63&lt;&gt;"TAK",0,IF($O63="NIEPOLICZONE",0,IFERROR(ROUND($J63*$M63,2),0)))</f>
        <v>0</v>
      </c>
      <c r="X63" s="35" t="n">
        <f aca="false">IF($T63&lt;&gt;"TAK",0,IF($O63="NIEPOLICZONE",0,IFERROR(ROUND(IF($K63="",$J63,$K63)*IF($N63="",$M63,$N63),2),0)))</f>
        <v>0</v>
      </c>
    </row>
    <row r="64" customFormat="false" ht="18" hidden="false" customHeight="true" outlineLevel="0" collapsed="false">
      <c r="A64" s="25" t="s">
        <v>530</v>
      </c>
      <c r="B64" s="33"/>
      <c r="C64" s="33"/>
      <c r="D64" s="33"/>
      <c r="E64" s="33"/>
      <c r="F64" s="33"/>
      <c r="G64" s="33"/>
      <c r="H64" s="33"/>
      <c r="I64" s="30"/>
      <c r="J64" s="30"/>
      <c r="K64" s="30"/>
      <c r="L64" s="30"/>
      <c r="M64" s="30"/>
      <c r="N64" s="30"/>
      <c r="O64" s="33"/>
      <c r="P64" s="33"/>
      <c r="Q64" s="33"/>
      <c r="R64" s="33"/>
      <c r="S64" s="33"/>
      <c r="T64" s="33"/>
      <c r="U64" s="33"/>
      <c r="V64" s="35" t="n">
        <f aca="false">IF($T64&lt;&gt;"TAK",0,IF($O64="NIEPOLICZONE",0,IFERROR(ROUND(IF($I64="",$J64,$I64)*IF($L64="",$M64,$L64),2),0)))</f>
        <v>0</v>
      </c>
      <c r="W64" s="46" t="n">
        <f aca="false">IF($T64&lt;&gt;"TAK",0,IF($O64="NIEPOLICZONE",0,IFERROR(ROUND($J64*$M64,2),0)))</f>
        <v>0</v>
      </c>
      <c r="X64" s="35" t="n">
        <f aca="false">IF($T64&lt;&gt;"TAK",0,IF($O64="NIEPOLICZONE",0,IFERROR(ROUND(IF($K64="",$J64,$K64)*IF($N64="",$M64,$N64),2),0)))</f>
        <v>0</v>
      </c>
    </row>
    <row r="65" customFormat="false" ht="18" hidden="false" customHeight="true" outlineLevel="0" collapsed="false">
      <c r="A65" s="25" t="s">
        <v>531</v>
      </c>
      <c r="B65" s="33"/>
      <c r="C65" s="33"/>
      <c r="D65" s="33"/>
      <c r="E65" s="33"/>
      <c r="F65" s="33"/>
      <c r="G65" s="33"/>
      <c r="H65" s="33"/>
      <c r="I65" s="30"/>
      <c r="J65" s="30"/>
      <c r="K65" s="30"/>
      <c r="L65" s="30"/>
      <c r="M65" s="30"/>
      <c r="N65" s="30"/>
      <c r="O65" s="33"/>
      <c r="P65" s="33"/>
      <c r="Q65" s="33"/>
      <c r="R65" s="33"/>
      <c r="S65" s="33"/>
      <c r="T65" s="33"/>
      <c r="U65" s="33"/>
      <c r="V65" s="35" t="n">
        <f aca="false">IF($T65&lt;&gt;"TAK",0,IF($O65="NIEPOLICZONE",0,IFERROR(ROUND(IF($I65="",$J65,$I65)*IF($L65="",$M65,$L65),2),0)))</f>
        <v>0</v>
      </c>
      <c r="W65" s="46" t="n">
        <f aca="false">IF($T65&lt;&gt;"TAK",0,IF($O65="NIEPOLICZONE",0,IFERROR(ROUND($J65*$M65,2),0)))</f>
        <v>0</v>
      </c>
      <c r="X65" s="35" t="n">
        <f aca="false">IF($T65&lt;&gt;"TAK",0,IF($O65="NIEPOLICZONE",0,IFERROR(ROUND(IF($K65="",$J65,$K65)*IF($N65="",$M65,$N65),2),0)))</f>
        <v>0</v>
      </c>
    </row>
    <row r="66" customFormat="false" ht="18" hidden="false" customHeight="true" outlineLevel="0" collapsed="false">
      <c r="A66" s="25" t="s">
        <v>532</v>
      </c>
      <c r="B66" s="33"/>
      <c r="C66" s="33"/>
      <c r="D66" s="33"/>
      <c r="E66" s="33"/>
      <c r="F66" s="33"/>
      <c r="G66" s="33"/>
      <c r="H66" s="33"/>
      <c r="I66" s="30"/>
      <c r="J66" s="30"/>
      <c r="K66" s="30"/>
      <c r="L66" s="30"/>
      <c r="M66" s="30"/>
      <c r="N66" s="30"/>
      <c r="O66" s="33"/>
      <c r="P66" s="33"/>
      <c r="Q66" s="33"/>
      <c r="R66" s="33"/>
      <c r="S66" s="33"/>
      <c r="T66" s="33"/>
      <c r="U66" s="33"/>
      <c r="V66" s="35" t="n">
        <f aca="false">IF($T66&lt;&gt;"TAK",0,IF($O66="NIEPOLICZONE",0,IFERROR(ROUND(IF($I66="",$J66,$I66)*IF($L66="",$M66,$L66),2),0)))</f>
        <v>0</v>
      </c>
      <c r="W66" s="46" t="n">
        <f aca="false">IF($T66&lt;&gt;"TAK",0,IF($O66="NIEPOLICZONE",0,IFERROR(ROUND($J66*$M66,2),0)))</f>
        <v>0</v>
      </c>
      <c r="X66" s="35" t="n">
        <f aca="false">IF($T66&lt;&gt;"TAK",0,IF($O66="NIEPOLICZONE",0,IFERROR(ROUND(IF($K66="",$J66,$K66)*IF($N66="",$M66,$N66),2),0)))</f>
        <v>0</v>
      </c>
    </row>
    <row r="67" customFormat="false" ht="18" hidden="false" customHeight="true" outlineLevel="0" collapsed="false">
      <c r="A67" s="25" t="s">
        <v>533</v>
      </c>
      <c r="B67" s="33"/>
      <c r="C67" s="33"/>
      <c r="D67" s="33"/>
      <c r="E67" s="33"/>
      <c r="F67" s="33"/>
      <c r="G67" s="33"/>
      <c r="H67" s="33"/>
      <c r="I67" s="30"/>
      <c r="J67" s="30"/>
      <c r="K67" s="30"/>
      <c r="L67" s="30"/>
      <c r="M67" s="30"/>
      <c r="N67" s="30"/>
      <c r="O67" s="33"/>
      <c r="P67" s="33"/>
      <c r="Q67" s="33"/>
      <c r="R67" s="33"/>
      <c r="S67" s="33"/>
      <c r="T67" s="33"/>
      <c r="U67" s="33"/>
      <c r="V67" s="35" t="n">
        <f aca="false">IF($T67&lt;&gt;"TAK",0,IF($O67="NIEPOLICZONE",0,IFERROR(ROUND(IF($I67="",$J67,$I67)*IF($L67="",$M67,$L67),2),0)))</f>
        <v>0</v>
      </c>
      <c r="W67" s="46" t="n">
        <f aca="false">IF($T67&lt;&gt;"TAK",0,IF($O67="NIEPOLICZONE",0,IFERROR(ROUND($J67*$M67,2),0)))</f>
        <v>0</v>
      </c>
      <c r="X67" s="35" t="n">
        <f aca="false">IF($T67&lt;&gt;"TAK",0,IF($O67="NIEPOLICZONE",0,IFERROR(ROUND(IF($K67="",$J67,$K67)*IF($N67="",$M67,$N67),2),0)))</f>
        <v>0</v>
      </c>
    </row>
    <row r="68" customFormat="false" ht="18" hidden="false" customHeight="true" outlineLevel="0" collapsed="false">
      <c r="A68" s="25" t="s">
        <v>534</v>
      </c>
      <c r="B68" s="33"/>
      <c r="C68" s="33"/>
      <c r="D68" s="33"/>
      <c r="E68" s="33"/>
      <c r="F68" s="33"/>
      <c r="G68" s="33"/>
      <c r="H68" s="33"/>
      <c r="I68" s="30"/>
      <c r="J68" s="30"/>
      <c r="K68" s="30"/>
      <c r="L68" s="30"/>
      <c r="M68" s="30"/>
      <c r="N68" s="30"/>
      <c r="O68" s="33"/>
      <c r="P68" s="33"/>
      <c r="Q68" s="33"/>
      <c r="R68" s="33"/>
      <c r="S68" s="33"/>
      <c r="T68" s="33"/>
      <c r="U68" s="33"/>
      <c r="V68" s="35" t="n">
        <f aca="false">IF($T68&lt;&gt;"TAK",0,IF($O68="NIEPOLICZONE",0,IFERROR(ROUND(IF($I68="",$J68,$I68)*IF($L68="",$M68,$L68),2),0)))</f>
        <v>0</v>
      </c>
      <c r="W68" s="46" t="n">
        <f aca="false">IF($T68&lt;&gt;"TAK",0,IF($O68="NIEPOLICZONE",0,IFERROR(ROUND($J68*$M68,2),0)))</f>
        <v>0</v>
      </c>
      <c r="X68" s="35" t="n">
        <f aca="false">IF($T68&lt;&gt;"TAK",0,IF($O68="NIEPOLICZONE",0,IFERROR(ROUND(IF($K68="",$J68,$K68)*IF($N68="",$M68,$N68),2),0)))</f>
        <v>0</v>
      </c>
    </row>
    <row r="69" customFormat="false" ht="18" hidden="false" customHeight="true" outlineLevel="0" collapsed="false">
      <c r="A69" s="25" t="s">
        <v>535</v>
      </c>
      <c r="B69" s="33"/>
      <c r="C69" s="33"/>
      <c r="D69" s="33"/>
      <c r="E69" s="33"/>
      <c r="F69" s="33"/>
      <c r="G69" s="33"/>
      <c r="H69" s="33"/>
      <c r="I69" s="30"/>
      <c r="J69" s="30"/>
      <c r="K69" s="30"/>
      <c r="L69" s="30"/>
      <c r="M69" s="30"/>
      <c r="N69" s="30"/>
      <c r="O69" s="33"/>
      <c r="P69" s="33"/>
      <c r="Q69" s="33"/>
      <c r="R69" s="33"/>
      <c r="S69" s="33"/>
      <c r="T69" s="33"/>
      <c r="U69" s="33"/>
      <c r="V69" s="35" t="n">
        <f aca="false">IF($T69&lt;&gt;"TAK",0,IF($O69="NIEPOLICZONE",0,IFERROR(ROUND(IF($I69="",$J69,$I69)*IF($L69="",$M69,$L69),2),0)))</f>
        <v>0</v>
      </c>
      <c r="W69" s="46" t="n">
        <f aca="false">IF($T69&lt;&gt;"TAK",0,IF($O69="NIEPOLICZONE",0,IFERROR(ROUND($J69*$M69,2),0)))</f>
        <v>0</v>
      </c>
      <c r="X69" s="35" t="n">
        <f aca="false">IF($T69&lt;&gt;"TAK",0,IF($O69="NIEPOLICZONE",0,IFERROR(ROUND(IF($K69="",$J69,$K69)*IF($N69="",$M69,$N69),2),0)))</f>
        <v>0</v>
      </c>
    </row>
    <row r="70" customFormat="false" ht="18" hidden="false" customHeight="true" outlineLevel="0" collapsed="false">
      <c r="A70" s="25" t="s">
        <v>536</v>
      </c>
      <c r="B70" s="33"/>
      <c r="C70" s="33"/>
      <c r="D70" s="33"/>
      <c r="E70" s="33"/>
      <c r="F70" s="33"/>
      <c r="G70" s="33"/>
      <c r="H70" s="33"/>
      <c r="I70" s="30"/>
      <c r="J70" s="30"/>
      <c r="K70" s="30"/>
      <c r="L70" s="30"/>
      <c r="M70" s="30"/>
      <c r="N70" s="30"/>
      <c r="O70" s="33"/>
      <c r="P70" s="33"/>
      <c r="Q70" s="33"/>
      <c r="R70" s="33"/>
      <c r="S70" s="33"/>
      <c r="T70" s="33"/>
      <c r="U70" s="33"/>
      <c r="V70" s="35" t="n">
        <f aca="false">IF($T70&lt;&gt;"TAK",0,IF($O70="NIEPOLICZONE",0,IFERROR(ROUND(IF($I70="",$J70,$I70)*IF($L70="",$M70,$L70),2),0)))</f>
        <v>0</v>
      </c>
      <c r="W70" s="46" t="n">
        <f aca="false">IF($T70&lt;&gt;"TAK",0,IF($O70="NIEPOLICZONE",0,IFERROR(ROUND($J70*$M70,2),0)))</f>
        <v>0</v>
      </c>
      <c r="X70" s="35" t="n">
        <f aca="false">IF($T70&lt;&gt;"TAK",0,IF($O70="NIEPOLICZONE",0,IFERROR(ROUND(IF($K70="",$J70,$K70)*IF($N70="",$M70,$N70),2),0)))</f>
        <v>0</v>
      </c>
    </row>
    <row r="71" customFormat="false" ht="18" hidden="false" customHeight="true" outlineLevel="0" collapsed="false">
      <c r="A71" s="25" t="s">
        <v>537</v>
      </c>
      <c r="B71" s="33"/>
      <c r="C71" s="33"/>
      <c r="D71" s="33"/>
      <c r="E71" s="33"/>
      <c r="F71" s="33"/>
      <c r="G71" s="33"/>
      <c r="H71" s="33"/>
      <c r="I71" s="30"/>
      <c r="J71" s="30"/>
      <c r="K71" s="30"/>
      <c r="L71" s="30"/>
      <c r="M71" s="30"/>
      <c r="N71" s="30"/>
      <c r="O71" s="33"/>
      <c r="P71" s="33"/>
      <c r="Q71" s="33"/>
      <c r="R71" s="33"/>
      <c r="S71" s="33"/>
      <c r="T71" s="33"/>
      <c r="U71" s="33"/>
      <c r="V71" s="35" t="n">
        <f aca="false">IF($T71&lt;&gt;"TAK",0,IF($O71="NIEPOLICZONE",0,IFERROR(ROUND(IF($I71="",$J71,$I71)*IF($L71="",$M71,$L71),2),0)))</f>
        <v>0</v>
      </c>
      <c r="W71" s="46" t="n">
        <f aca="false">IF($T71&lt;&gt;"TAK",0,IF($O71="NIEPOLICZONE",0,IFERROR(ROUND($J71*$M71,2),0)))</f>
        <v>0</v>
      </c>
      <c r="X71" s="35" t="n">
        <f aca="false">IF($T71&lt;&gt;"TAK",0,IF($O71="NIEPOLICZONE",0,IFERROR(ROUND(IF($K71="",$J71,$K71)*IF($N71="",$M71,$N71),2),0)))</f>
        <v>0</v>
      </c>
    </row>
    <row r="72" customFormat="false" ht="18" hidden="false" customHeight="true" outlineLevel="0" collapsed="false">
      <c r="A72" s="25" t="s">
        <v>538</v>
      </c>
      <c r="B72" s="33"/>
      <c r="C72" s="33"/>
      <c r="D72" s="33"/>
      <c r="E72" s="33"/>
      <c r="F72" s="33"/>
      <c r="G72" s="33"/>
      <c r="H72" s="33"/>
      <c r="I72" s="30"/>
      <c r="J72" s="30"/>
      <c r="K72" s="30"/>
      <c r="L72" s="30"/>
      <c r="M72" s="30"/>
      <c r="N72" s="30"/>
      <c r="O72" s="33"/>
      <c r="P72" s="33"/>
      <c r="Q72" s="33"/>
      <c r="R72" s="33"/>
      <c r="S72" s="33"/>
      <c r="T72" s="33"/>
      <c r="U72" s="33"/>
      <c r="V72" s="35" t="n">
        <f aca="false">IF($T72&lt;&gt;"TAK",0,IF($O72="NIEPOLICZONE",0,IFERROR(ROUND(IF($I72="",$J72,$I72)*IF($L72="",$M72,$L72),2),0)))</f>
        <v>0</v>
      </c>
      <c r="W72" s="46" t="n">
        <f aca="false">IF($T72&lt;&gt;"TAK",0,IF($O72="NIEPOLICZONE",0,IFERROR(ROUND($J72*$M72,2),0)))</f>
        <v>0</v>
      </c>
      <c r="X72" s="35" t="n">
        <f aca="false">IF($T72&lt;&gt;"TAK",0,IF($O72="NIEPOLICZONE",0,IFERROR(ROUND(IF($K72="",$J72,$K72)*IF($N72="",$M72,$N72),2),0)))</f>
        <v>0</v>
      </c>
    </row>
    <row r="73" customFormat="false" ht="18" hidden="false" customHeight="true" outlineLevel="0" collapsed="false">
      <c r="A73" s="25" t="s">
        <v>539</v>
      </c>
      <c r="B73" s="33"/>
      <c r="C73" s="33"/>
      <c r="D73" s="33"/>
      <c r="E73" s="33"/>
      <c r="F73" s="33"/>
      <c r="G73" s="33"/>
      <c r="H73" s="33"/>
      <c r="I73" s="30"/>
      <c r="J73" s="30"/>
      <c r="K73" s="30"/>
      <c r="L73" s="30"/>
      <c r="M73" s="30"/>
      <c r="N73" s="30"/>
      <c r="O73" s="33"/>
      <c r="P73" s="33"/>
      <c r="Q73" s="33"/>
      <c r="R73" s="33"/>
      <c r="S73" s="33"/>
      <c r="T73" s="33"/>
      <c r="U73" s="33"/>
      <c r="V73" s="35" t="n">
        <f aca="false">IF($T73&lt;&gt;"TAK",0,IF($O73="NIEPOLICZONE",0,IFERROR(ROUND(IF($I73="",$J73,$I73)*IF($L73="",$M73,$L73),2),0)))</f>
        <v>0</v>
      </c>
      <c r="W73" s="46" t="n">
        <f aca="false">IF($T73&lt;&gt;"TAK",0,IF($O73="NIEPOLICZONE",0,IFERROR(ROUND($J73*$M73,2),0)))</f>
        <v>0</v>
      </c>
      <c r="X73" s="35" t="n">
        <f aca="false">IF($T73&lt;&gt;"TAK",0,IF($O73="NIEPOLICZONE",0,IFERROR(ROUND(IF($K73="",$J73,$K73)*IF($N73="",$M73,$N73),2),0)))</f>
        <v>0</v>
      </c>
    </row>
    <row r="74" customFormat="false" ht="18" hidden="false" customHeight="true" outlineLevel="0" collapsed="false">
      <c r="A74" s="25" t="s">
        <v>540</v>
      </c>
      <c r="B74" s="33"/>
      <c r="C74" s="33"/>
      <c r="D74" s="33"/>
      <c r="E74" s="33"/>
      <c r="F74" s="33"/>
      <c r="G74" s="33"/>
      <c r="H74" s="33"/>
      <c r="I74" s="30"/>
      <c r="J74" s="30"/>
      <c r="K74" s="30"/>
      <c r="L74" s="30"/>
      <c r="M74" s="30"/>
      <c r="N74" s="30"/>
      <c r="O74" s="33"/>
      <c r="P74" s="33"/>
      <c r="Q74" s="33"/>
      <c r="R74" s="33"/>
      <c r="S74" s="33"/>
      <c r="T74" s="33"/>
      <c r="U74" s="33"/>
      <c r="V74" s="35" t="n">
        <f aca="false">IF($T74&lt;&gt;"TAK",0,IF($O74="NIEPOLICZONE",0,IFERROR(ROUND(IF($I74="",$J74,$I74)*IF($L74="",$M74,$L74),2),0)))</f>
        <v>0</v>
      </c>
      <c r="W74" s="46" t="n">
        <f aca="false">IF($T74&lt;&gt;"TAK",0,IF($O74="NIEPOLICZONE",0,IFERROR(ROUND($J74*$M74,2),0)))</f>
        <v>0</v>
      </c>
      <c r="X74" s="35" t="n">
        <f aca="false">IF($T74&lt;&gt;"TAK",0,IF($O74="NIEPOLICZONE",0,IFERROR(ROUND(IF($K74="",$J74,$K74)*IF($N74="",$M74,$N74),2),0)))</f>
        <v>0</v>
      </c>
    </row>
    <row r="75" customFormat="false" ht="18" hidden="false" customHeight="true" outlineLevel="0" collapsed="false">
      <c r="A75" s="25" t="s">
        <v>541</v>
      </c>
      <c r="B75" s="33"/>
      <c r="C75" s="33"/>
      <c r="D75" s="33"/>
      <c r="E75" s="33"/>
      <c r="F75" s="33"/>
      <c r="G75" s="33"/>
      <c r="H75" s="33"/>
      <c r="I75" s="30"/>
      <c r="J75" s="30"/>
      <c r="K75" s="30"/>
      <c r="L75" s="30"/>
      <c r="M75" s="30"/>
      <c r="N75" s="30"/>
      <c r="O75" s="33"/>
      <c r="P75" s="33"/>
      <c r="Q75" s="33"/>
      <c r="R75" s="33"/>
      <c r="S75" s="33"/>
      <c r="T75" s="33"/>
      <c r="U75" s="33"/>
      <c r="V75" s="35" t="n">
        <f aca="false">IF($T75&lt;&gt;"TAK",0,IF($O75="NIEPOLICZONE",0,IFERROR(ROUND(IF($I75="",$J75,$I75)*IF($L75="",$M75,$L75),2),0)))</f>
        <v>0</v>
      </c>
      <c r="W75" s="46" t="n">
        <f aca="false">IF($T75&lt;&gt;"TAK",0,IF($O75="NIEPOLICZONE",0,IFERROR(ROUND($J75*$M75,2),0)))</f>
        <v>0</v>
      </c>
      <c r="X75" s="35" t="n">
        <f aca="false">IF($T75&lt;&gt;"TAK",0,IF($O75="NIEPOLICZONE",0,IFERROR(ROUND(IF($K75="",$J75,$K75)*IF($N75="",$M75,$N75),2),0)))</f>
        <v>0</v>
      </c>
    </row>
    <row r="76" customFormat="false" ht="18" hidden="false" customHeight="true" outlineLevel="0" collapsed="false">
      <c r="A76" s="25" t="s">
        <v>542</v>
      </c>
      <c r="B76" s="33"/>
      <c r="C76" s="33"/>
      <c r="D76" s="33"/>
      <c r="E76" s="33"/>
      <c r="F76" s="33"/>
      <c r="G76" s="33"/>
      <c r="H76" s="33"/>
      <c r="I76" s="30"/>
      <c r="J76" s="30"/>
      <c r="K76" s="30"/>
      <c r="L76" s="30"/>
      <c r="M76" s="30"/>
      <c r="N76" s="30"/>
      <c r="O76" s="33"/>
      <c r="P76" s="33"/>
      <c r="Q76" s="33"/>
      <c r="R76" s="33"/>
      <c r="S76" s="33"/>
      <c r="T76" s="33"/>
      <c r="U76" s="33"/>
      <c r="V76" s="35" t="n">
        <f aca="false">IF($T76&lt;&gt;"TAK",0,IF($O76="NIEPOLICZONE",0,IFERROR(ROUND(IF($I76="",$J76,$I76)*IF($L76="",$M76,$L76),2),0)))</f>
        <v>0</v>
      </c>
      <c r="W76" s="46" t="n">
        <f aca="false">IF($T76&lt;&gt;"TAK",0,IF($O76="NIEPOLICZONE",0,IFERROR(ROUND($J76*$M76,2),0)))</f>
        <v>0</v>
      </c>
      <c r="X76" s="35" t="n">
        <f aca="false">IF($T76&lt;&gt;"TAK",0,IF($O76="NIEPOLICZONE",0,IFERROR(ROUND(IF($K76="",$J76,$K76)*IF($N76="",$M76,$N76),2),0)))</f>
        <v>0</v>
      </c>
    </row>
    <row r="77" customFormat="false" ht="18" hidden="false" customHeight="true" outlineLevel="0" collapsed="false">
      <c r="A77" s="25" t="s">
        <v>543</v>
      </c>
      <c r="B77" s="33"/>
      <c r="C77" s="33"/>
      <c r="D77" s="33"/>
      <c r="E77" s="33"/>
      <c r="F77" s="33"/>
      <c r="G77" s="33"/>
      <c r="H77" s="33"/>
      <c r="I77" s="30"/>
      <c r="J77" s="30"/>
      <c r="K77" s="30"/>
      <c r="L77" s="30"/>
      <c r="M77" s="30"/>
      <c r="N77" s="30"/>
      <c r="O77" s="33"/>
      <c r="P77" s="33"/>
      <c r="Q77" s="33"/>
      <c r="R77" s="33"/>
      <c r="S77" s="33"/>
      <c r="T77" s="33"/>
      <c r="U77" s="33"/>
      <c r="V77" s="35" t="n">
        <f aca="false">IF($T77&lt;&gt;"TAK",0,IF($O77="NIEPOLICZONE",0,IFERROR(ROUND(IF($I77="",$J77,$I77)*IF($L77="",$M77,$L77),2),0)))</f>
        <v>0</v>
      </c>
      <c r="W77" s="46" t="n">
        <f aca="false">IF($T77&lt;&gt;"TAK",0,IF($O77="NIEPOLICZONE",0,IFERROR(ROUND($J77*$M77,2),0)))</f>
        <v>0</v>
      </c>
      <c r="X77" s="35" t="n">
        <f aca="false">IF($T77&lt;&gt;"TAK",0,IF($O77="NIEPOLICZONE",0,IFERROR(ROUND(IF($K77="",$J77,$K77)*IF($N77="",$M77,$N77),2),0)))</f>
        <v>0</v>
      </c>
    </row>
    <row r="78" customFormat="false" ht="18" hidden="false" customHeight="true" outlineLevel="0" collapsed="false">
      <c r="A78" s="25" t="s">
        <v>544</v>
      </c>
      <c r="B78" s="33"/>
      <c r="C78" s="33"/>
      <c r="D78" s="33"/>
      <c r="E78" s="33"/>
      <c r="F78" s="33"/>
      <c r="G78" s="33"/>
      <c r="H78" s="33"/>
      <c r="I78" s="30"/>
      <c r="J78" s="30"/>
      <c r="K78" s="30"/>
      <c r="L78" s="30"/>
      <c r="M78" s="30"/>
      <c r="N78" s="30"/>
      <c r="O78" s="33"/>
      <c r="P78" s="33"/>
      <c r="Q78" s="33"/>
      <c r="R78" s="33"/>
      <c r="S78" s="33"/>
      <c r="T78" s="33"/>
      <c r="U78" s="33"/>
      <c r="V78" s="35" t="n">
        <f aca="false">IF($T78&lt;&gt;"TAK",0,IF($O78="NIEPOLICZONE",0,IFERROR(ROUND(IF($I78="",$J78,$I78)*IF($L78="",$M78,$L78),2),0)))</f>
        <v>0</v>
      </c>
      <c r="W78" s="46" t="n">
        <f aca="false">IF($T78&lt;&gt;"TAK",0,IF($O78="NIEPOLICZONE",0,IFERROR(ROUND($J78*$M78,2),0)))</f>
        <v>0</v>
      </c>
      <c r="X78" s="35" t="n">
        <f aca="false">IF($T78&lt;&gt;"TAK",0,IF($O78="NIEPOLICZONE",0,IFERROR(ROUND(IF($K78="",$J78,$K78)*IF($N78="",$M78,$N78),2),0)))</f>
        <v>0</v>
      </c>
    </row>
    <row r="79" customFormat="false" ht="18" hidden="false" customHeight="true" outlineLevel="0" collapsed="false">
      <c r="A79" s="25" t="s">
        <v>545</v>
      </c>
      <c r="B79" s="33"/>
      <c r="C79" s="33"/>
      <c r="D79" s="33"/>
      <c r="E79" s="33"/>
      <c r="F79" s="33"/>
      <c r="G79" s="33"/>
      <c r="H79" s="33"/>
      <c r="I79" s="30"/>
      <c r="J79" s="30"/>
      <c r="K79" s="30"/>
      <c r="L79" s="30"/>
      <c r="M79" s="30"/>
      <c r="N79" s="30"/>
      <c r="O79" s="33"/>
      <c r="P79" s="33"/>
      <c r="Q79" s="33"/>
      <c r="R79" s="33"/>
      <c r="S79" s="33"/>
      <c r="T79" s="33"/>
      <c r="U79" s="33"/>
      <c r="V79" s="35" t="n">
        <f aca="false">IF($T79&lt;&gt;"TAK",0,IF($O79="NIEPOLICZONE",0,IFERROR(ROUND(IF($I79="",$J79,$I79)*IF($L79="",$M79,$L79),2),0)))</f>
        <v>0</v>
      </c>
      <c r="W79" s="46" t="n">
        <f aca="false">IF($T79&lt;&gt;"TAK",0,IF($O79="NIEPOLICZONE",0,IFERROR(ROUND($J79*$M79,2),0)))</f>
        <v>0</v>
      </c>
      <c r="X79" s="35" t="n">
        <f aca="false">IF($T79&lt;&gt;"TAK",0,IF($O79="NIEPOLICZONE",0,IFERROR(ROUND(IF($K79="",$J79,$K79)*IF($N79="",$M79,$N79),2),0)))</f>
        <v>0</v>
      </c>
    </row>
    <row r="80" customFormat="false" ht="18" hidden="false" customHeight="true" outlineLevel="0" collapsed="false">
      <c r="A80" s="25" t="s">
        <v>546</v>
      </c>
      <c r="B80" s="33"/>
      <c r="C80" s="33"/>
      <c r="D80" s="33"/>
      <c r="E80" s="33"/>
      <c r="F80" s="33"/>
      <c r="G80" s="33"/>
      <c r="H80" s="33"/>
      <c r="I80" s="30"/>
      <c r="J80" s="30"/>
      <c r="K80" s="30"/>
      <c r="L80" s="30"/>
      <c r="M80" s="30"/>
      <c r="N80" s="30"/>
      <c r="O80" s="33"/>
      <c r="P80" s="33"/>
      <c r="Q80" s="33"/>
      <c r="R80" s="33"/>
      <c r="S80" s="33"/>
      <c r="T80" s="33"/>
      <c r="U80" s="33"/>
      <c r="V80" s="35" t="n">
        <f aca="false">IF($T80&lt;&gt;"TAK",0,IF($O80="NIEPOLICZONE",0,IFERROR(ROUND(IF($I80="",$J80,$I80)*IF($L80="",$M80,$L80),2),0)))</f>
        <v>0</v>
      </c>
      <c r="W80" s="46" t="n">
        <f aca="false">IF($T80&lt;&gt;"TAK",0,IF($O80="NIEPOLICZONE",0,IFERROR(ROUND($J80*$M80,2),0)))</f>
        <v>0</v>
      </c>
      <c r="X80" s="35" t="n">
        <f aca="false">IF($T80&lt;&gt;"TAK",0,IF($O80="NIEPOLICZONE",0,IFERROR(ROUND(IF($K80="",$J80,$K80)*IF($N80="",$M80,$N80),2),0)))</f>
        <v>0</v>
      </c>
    </row>
    <row r="81" customFormat="false" ht="18" hidden="false" customHeight="true" outlineLevel="0" collapsed="false">
      <c r="A81" s="25" t="s">
        <v>547</v>
      </c>
      <c r="B81" s="33"/>
      <c r="C81" s="33"/>
      <c r="D81" s="33"/>
      <c r="E81" s="33"/>
      <c r="F81" s="33"/>
      <c r="G81" s="33"/>
      <c r="H81" s="33"/>
      <c r="I81" s="30"/>
      <c r="J81" s="30"/>
      <c r="K81" s="30"/>
      <c r="L81" s="30"/>
      <c r="M81" s="30"/>
      <c r="N81" s="30"/>
      <c r="O81" s="33"/>
      <c r="P81" s="33"/>
      <c r="Q81" s="33"/>
      <c r="R81" s="33"/>
      <c r="S81" s="33"/>
      <c r="T81" s="33"/>
      <c r="U81" s="33"/>
      <c r="V81" s="35" t="n">
        <f aca="false">IF($T81&lt;&gt;"TAK",0,IF($O81="NIEPOLICZONE",0,IFERROR(ROUND(IF($I81="",$J81,$I81)*IF($L81="",$M81,$L81),2),0)))</f>
        <v>0</v>
      </c>
      <c r="W81" s="46" t="n">
        <f aca="false">IF($T81&lt;&gt;"TAK",0,IF($O81="NIEPOLICZONE",0,IFERROR(ROUND($J81*$M81,2),0)))</f>
        <v>0</v>
      </c>
      <c r="X81" s="35" t="n">
        <f aca="false">IF($T81&lt;&gt;"TAK",0,IF($O81="NIEPOLICZONE",0,IFERROR(ROUND(IF($K81="",$J81,$K81)*IF($N81="",$M81,$N81),2),0)))</f>
        <v>0</v>
      </c>
    </row>
    <row r="82" customFormat="false" ht="18" hidden="false" customHeight="true" outlineLevel="0" collapsed="false">
      <c r="A82" s="25" t="s">
        <v>548</v>
      </c>
      <c r="B82" s="33"/>
      <c r="C82" s="33"/>
      <c r="D82" s="33"/>
      <c r="E82" s="33"/>
      <c r="F82" s="33"/>
      <c r="G82" s="33"/>
      <c r="H82" s="33"/>
      <c r="I82" s="30"/>
      <c r="J82" s="30"/>
      <c r="K82" s="30"/>
      <c r="L82" s="30"/>
      <c r="M82" s="30"/>
      <c r="N82" s="30"/>
      <c r="O82" s="33"/>
      <c r="P82" s="33"/>
      <c r="Q82" s="33"/>
      <c r="R82" s="33"/>
      <c r="S82" s="33"/>
      <c r="T82" s="33"/>
      <c r="U82" s="33"/>
      <c r="V82" s="35" t="n">
        <f aca="false">IF($T82&lt;&gt;"TAK",0,IF($O82="NIEPOLICZONE",0,IFERROR(ROUND(IF($I82="",$J82,$I82)*IF($L82="",$M82,$L82),2),0)))</f>
        <v>0</v>
      </c>
      <c r="W82" s="46" t="n">
        <f aca="false">IF($T82&lt;&gt;"TAK",0,IF($O82="NIEPOLICZONE",0,IFERROR(ROUND($J82*$M82,2),0)))</f>
        <v>0</v>
      </c>
      <c r="X82" s="35" t="n">
        <f aca="false">IF($T82&lt;&gt;"TAK",0,IF($O82="NIEPOLICZONE",0,IFERROR(ROUND(IF($K82="",$J82,$K82)*IF($N82="",$M82,$N82),2),0)))</f>
        <v>0</v>
      </c>
    </row>
    <row r="83" customFormat="false" ht="18" hidden="false" customHeight="true" outlineLevel="0" collapsed="false">
      <c r="A83" s="25" t="s">
        <v>549</v>
      </c>
      <c r="B83" s="33"/>
      <c r="C83" s="33"/>
      <c r="D83" s="33"/>
      <c r="E83" s="33"/>
      <c r="F83" s="33"/>
      <c r="G83" s="33"/>
      <c r="H83" s="33"/>
      <c r="I83" s="30"/>
      <c r="J83" s="30"/>
      <c r="K83" s="30"/>
      <c r="L83" s="30"/>
      <c r="M83" s="30"/>
      <c r="N83" s="30"/>
      <c r="O83" s="33"/>
      <c r="P83" s="33"/>
      <c r="Q83" s="33"/>
      <c r="R83" s="33"/>
      <c r="S83" s="33"/>
      <c r="T83" s="33"/>
      <c r="U83" s="33"/>
      <c r="V83" s="35" t="n">
        <f aca="false">IF($T83&lt;&gt;"TAK",0,IF($O83="NIEPOLICZONE",0,IFERROR(ROUND(IF($I83="",$J83,$I83)*IF($L83="",$M83,$L83),2),0)))</f>
        <v>0</v>
      </c>
      <c r="W83" s="46" t="n">
        <f aca="false">IF($T83&lt;&gt;"TAK",0,IF($O83="NIEPOLICZONE",0,IFERROR(ROUND($J83*$M83,2),0)))</f>
        <v>0</v>
      </c>
      <c r="X83" s="35" t="n">
        <f aca="false">IF($T83&lt;&gt;"TAK",0,IF($O83="NIEPOLICZONE",0,IFERROR(ROUND(IF($K83="",$J83,$K83)*IF($N83="",$M83,$N83),2),0)))</f>
        <v>0</v>
      </c>
    </row>
    <row r="84" customFormat="false" ht="18" hidden="false" customHeight="true" outlineLevel="0" collapsed="false">
      <c r="A84" s="25" t="s">
        <v>550</v>
      </c>
      <c r="B84" s="33"/>
      <c r="C84" s="33"/>
      <c r="D84" s="33"/>
      <c r="E84" s="33"/>
      <c r="F84" s="33"/>
      <c r="G84" s="33"/>
      <c r="H84" s="33"/>
      <c r="I84" s="30"/>
      <c r="J84" s="30"/>
      <c r="K84" s="30"/>
      <c r="L84" s="30"/>
      <c r="M84" s="30"/>
      <c r="N84" s="30"/>
      <c r="O84" s="33"/>
      <c r="P84" s="33"/>
      <c r="Q84" s="33"/>
      <c r="R84" s="33"/>
      <c r="S84" s="33"/>
      <c r="T84" s="33"/>
      <c r="U84" s="33"/>
      <c r="V84" s="35" t="n">
        <f aca="false">IF($T84&lt;&gt;"TAK",0,IF($O84="NIEPOLICZONE",0,IFERROR(ROUND(IF($I84="",$J84,$I84)*IF($L84="",$M84,$L84),2),0)))</f>
        <v>0</v>
      </c>
      <c r="W84" s="46" t="n">
        <f aca="false">IF($T84&lt;&gt;"TAK",0,IF($O84="NIEPOLICZONE",0,IFERROR(ROUND($J84*$M84,2),0)))</f>
        <v>0</v>
      </c>
      <c r="X84" s="35" t="n">
        <f aca="false">IF($T84&lt;&gt;"TAK",0,IF($O84="NIEPOLICZONE",0,IFERROR(ROUND(IF($K84="",$J84,$K84)*IF($N84="",$M84,$N84),2),0)))</f>
        <v>0</v>
      </c>
    </row>
    <row r="85" customFormat="false" ht="18" hidden="false" customHeight="true" outlineLevel="0" collapsed="false">
      <c r="A85" s="25" t="s">
        <v>551</v>
      </c>
      <c r="B85" s="33"/>
      <c r="C85" s="33"/>
      <c r="D85" s="33"/>
      <c r="E85" s="33"/>
      <c r="F85" s="33"/>
      <c r="G85" s="33"/>
      <c r="H85" s="33"/>
      <c r="I85" s="30"/>
      <c r="J85" s="30"/>
      <c r="K85" s="30"/>
      <c r="L85" s="30"/>
      <c r="M85" s="30"/>
      <c r="N85" s="30"/>
      <c r="O85" s="33"/>
      <c r="P85" s="33"/>
      <c r="Q85" s="33"/>
      <c r="R85" s="33"/>
      <c r="S85" s="33"/>
      <c r="T85" s="33"/>
      <c r="U85" s="33"/>
      <c r="V85" s="35" t="n">
        <f aca="false">IF($T85&lt;&gt;"TAK",0,IF($O85="NIEPOLICZONE",0,IFERROR(ROUND(IF($I85="",$J85,$I85)*IF($L85="",$M85,$L85),2),0)))</f>
        <v>0</v>
      </c>
      <c r="W85" s="46" t="n">
        <f aca="false">IF($T85&lt;&gt;"TAK",0,IF($O85="NIEPOLICZONE",0,IFERROR(ROUND($J85*$M85,2),0)))</f>
        <v>0</v>
      </c>
      <c r="X85" s="35" t="n">
        <f aca="false">IF($T85&lt;&gt;"TAK",0,IF($O85="NIEPOLICZONE",0,IFERROR(ROUND(IF($K85="",$J85,$K85)*IF($N85="",$M85,$N85),2),0)))</f>
        <v>0</v>
      </c>
    </row>
    <row r="86" customFormat="false" ht="18" hidden="false" customHeight="true" outlineLevel="0" collapsed="false">
      <c r="A86" s="25" t="s">
        <v>552</v>
      </c>
      <c r="B86" s="33"/>
      <c r="C86" s="33"/>
      <c r="D86" s="33"/>
      <c r="E86" s="33"/>
      <c r="F86" s="33"/>
      <c r="G86" s="33"/>
      <c r="H86" s="33"/>
      <c r="I86" s="30"/>
      <c r="J86" s="30"/>
      <c r="K86" s="30"/>
      <c r="L86" s="30"/>
      <c r="M86" s="30"/>
      <c r="N86" s="30"/>
      <c r="O86" s="33"/>
      <c r="P86" s="33"/>
      <c r="Q86" s="33"/>
      <c r="R86" s="33"/>
      <c r="S86" s="33"/>
      <c r="T86" s="33"/>
      <c r="U86" s="33"/>
      <c r="V86" s="35" t="n">
        <f aca="false">IF($T86&lt;&gt;"TAK",0,IF($O86="NIEPOLICZONE",0,IFERROR(ROUND(IF($I86="",$J86,$I86)*IF($L86="",$M86,$L86),2),0)))</f>
        <v>0</v>
      </c>
      <c r="W86" s="46" t="n">
        <f aca="false">IF($T86&lt;&gt;"TAK",0,IF($O86="NIEPOLICZONE",0,IFERROR(ROUND($J86*$M86,2),0)))</f>
        <v>0</v>
      </c>
      <c r="X86" s="35" t="n">
        <f aca="false">IF($T86&lt;&gt;"TAK",0,IF($O86="NIEPOLICZONE",0,IFERROR(ROUND(IF($K86="",$J86,$K86)*IF($N86="",$M86,$N86),2),0)))</f>
        <v>0</v>
      </c>
    </row>
    <row r="87" customFormat="false" ht="18" hidden="false" customHeight="true" outlineLevel="0" collapsed="false">
      <c r="A87" s="25" t="s">
        <v>553</v>
      </c>
      <c r="B87" s="33"/>
      <c r="C87" s="33"/>
      <c r="D87" s="33"/>
      <c r="E87" s="33"/>
      <c r="F87" s="33"/>
      <c r="G87" s="33"/>
      <c r="H87" s="33"/>
      <c r="I87" s="30"/>
      <c r="J87" s="30"/>
      <c r="K87" s="30"/>
      <c r="L87" s="30"/>
      <c r="M87" s="30"/>
      <c r="N87" s="30"/>
      <c r="O87" s="33"/>
      <c r="P87" s="33"/>
      <c r="Q87" s="33"/>
      <c r="R87" s="33"/>
      <c r="S87" s="33"/>
      <c r="T87" s="33"/>
      <c r="U87" s="33"/>
      <c r="V87" s="35" t="n">
        <f aca="false">IF($T87&lt;&gt;"TAK",0,IF($O87="NIEPOLICZONE",0,IFERROR(ROUND(IF($I87="",$J87,$I87)*IF($L87="",$M87,$L87),2),0)))</f>
        <v>0</v>
      </c>
      <c r="W87" s="46" t="n">
        <f aca="false">IF($T87&lt;&gt;"TAK",0,IF($O87="NIEPOLICZONE",0,IFERROR(ROUND($J87*$M87,2),0)))</f>
        <v>0</v>
      </c>
      <c r="X87" s="35" t="n">
        <f aca="false">IF($T87&lt;&gt;"TAK",0,IF($O87="NIEPOLICZONE",0,IFERROR(ROUND(IF($K87="",$J87,$K87)*IF($N87="",$M87,$N87),2),0)))</f>
        <v>0</v>
      </c>
    </row>
    <row r="88" customFormat="false" ht="18" hidden="false" customHeight="true" outlineLevel="0" collapsed="false">
      <c r="A88" s="25" t="s">
        <v>554</v>
      </c>
      <c r="B88" s="33"/>
      <c r="C88" s="33"/>
      <c r="D88" s="33"/>
      <c r="E88" s="33"/>
      <c r="F88" s="33"/>
      <c r="G88" s="33"/>
      <c r="H88" s="33"/>
      <c r="I88" s="30"/>
      <c r="J88" s="30"/>
      <c r="K88" s="30"/>
      <c r="L88" s="30"/>
      <c r="M88" s="30"/>
      <c r="N88" s="30"/>
      <c r="O88" s="33"/>
      <c r="P88" s="33"/>
      <c r="Q88" s="33"/>
      <c r="R88" s="33"/>
      <c r="S88" s="33"/>
      <c r="T88" s="33"/>
      <c r="U88" s="33"/>
      <c r="V88" s="35" t="n">
        <f aca="false">IF($T88&lt;&gt;"TAK",0,IF($O88="NIEPOLICZONE",0,IFERROR(ROUND(IF($I88="",$J88,$I88)*IF($L88="",$M88,$L88),2),0)))</f>
        <v>0</v>
      </c>
      <c r="W88" s="46" t="n">
        <f aca="false">IF($T88&lt;&gt;"TAK",0,IF($O88="NIEPOLICZONE",0,IFERROR(ROUND($J88*$M88,2),0)))</f>
        <v>0</v>
      </c>
      <c r="X88" s="35" t="n">
        <f aca="false">IF($T88&lt;&gt;"TAK",0,IF($O88="NIEPOLICZONE",0,IFERROR(ROUND(IF($K88="",$J88,$K88)*IF($N88="",$M88,$N88),2),0)))</f>
        <v>0</v>
      </c>
    </row>
    <row r="89" customFormat="false" ht="18" hidden="false" customHeight="true" outlineLevel="0" collapsed="false">
      <c r="A89" s="25" t="s">
        <v>555</v>
      </c>
      <c r="B89" s="33"/>
      <c r="C89" s="33"/>
      <c r="D89" s="33"/>
      <c r="E89" s="33"/>
      <c r="F89" s="33"/>
      <c r="G89" s="33"/>
      <c r="H89" s="33"/>
      <c r="I89" s="30"/>
      <c r="J89" s="30"/>
      <c r="K89" s="30"/>
      <c r="L89" s="30"/>
      <c r="M89" s="30"/>
      <c r="N89" s="30"/>
      <c r="O89" s="33"/>
      <c r="P89" s="33"/>
      <c r="Q89" s="33"/>
      <c r="R89" s="33"/>
      <c r="S89" s="33"/>
      <c r="T89" s="33"/>
      <c r="U89" s="33"/>
      <c r="V89" s="35" t="n">
        <f aca="false">IF($T89&lt;&gt;"TAK",0,IF($O89="NIEPOLICZONE",0,IFERROR(ROUND(IF($I89="",$J89,$I89)*IF($L89="",$M89,$L89),2),0)))</f>
        <v>0</v>
      </c>
      <c r="W89" s="46" t="n">
        <f aca="false">IF($T89&lt;&gt;"TAK",0,IF($O89="NIEPOLICZONE",0,IFERROR(ROUND($J89*$M89,2),0)))</f>
        <v>0</v>
      </c>
      <c r="X89" s="35" t="n">
        <f aca="false">IF($T89&lt;&gt;"TAK",0,IF($O89="NIEPOLICZONE",0,IFERROR(ROUND(IF($K89="",$J89,$K89)*IF($N89="",$M89,$N89),2),0)))</f>
        <v>0</v>
      </c>
    </row>
    <row r="90" customFormat="false" ht="18" hidden="false" customHeight="true" outlineLevel="0" collapsed="false">
      <c r="A90" s="25" t="s">
        <v>556</v>
      </c>
      <c r="B90" s="33"/>
      <c r="C90" s="33"/>
      <c r="D90" s="33"/>
      <c r="E90" s="33"/>
      <c r="F90" s="33"/>
      <c r="G90" s="33"/>
      <c r="H90" s="33"/>
      <c r="I90" s="30"/>
      <c r="J90" s="30"/>
      <c r="K90" s="30"/>
      <c r="L90" s="30"/>
      <c r="M90" s="30"/>
      <c r="N90" s="30"/>
      <c r="O90" s="33"/>
      <c r="P90" s="33"/>
      <c r="Q90" s="33"/>
      <c r="R90" s="33"/>
      <c r="S90" s="33"/>
      <c r="T90" s="33"/>
      <c r="U90" s="33"/>
      <c r="V90" s="35" t="n">
        <f aca="false">IF($T90&lt;&gt;"TAK",0,IF($O90="NIEPOLICZONE",0,IFERROR(ROUND(IF($I90="",$J90,$I90)*IF($L90="",$M90,$L90),2),0)))</f>
        <v>0</v>
      </c>
      <c r="W90" s="46" t="n">
        <f aca="false">IF($T90&lt;&gt;"TAK",0,IF($O90="NIEPOLICZONE",0,IFERROR(ROUND($J90*$M90,2),0)))</f>
        <v>0</v>
      </c>
      <c r="X90" s="35" t="n">
        <f aca="false">IF($T90&lt;&gt;"TAK",0,IF($O90="NIEPOLICZONE",0,IFERROR(ROUND(IF($K90="",$J90,$K90)*IF($N90="",$M90,$N90),2),0)))</f>
        <v>0</v>
      </c>
    </row>
    <row r="91" customFormat="false" ht="18" hidden="false" customHeight="true" outlineLevel="0" collapsed="false">
      <c r="A91" s="25" t="s">
        <v>557</v>
      </c>
      <c r="B91" s="33"/>
      <c r="C91" s="33"/>
      <c r="D91" s="33"/>
      <c r="E91" s="33"/>
      <c r="F91" s="33"/>
      <c r="G91" s="33"/>
      <c r="H91" s="33"/>
      <c r="I91" s="30"/>
      <c r="J91" s="30"/>
      <c r="K91" s="30"/>
      <c r="L91" s="30"/>
      <c r="M91" s="30"/>
      <c r="N91" s="30"/>
      <c r="O91" s="33"/>
      <c r="P91" s="33"/>
      <c r="Q91" s="33"/>
      <c r="R91" s="33"/>
      <c r="S91" s="33"/>
      <c r="T91" s="33"/>
      <c r="U91" s="33"/>
      <c r="V91" s="35" t="n">
        <f aca="false">IF($T91&lt;&gt;"TAK",0,IF($O91="NIEPOLICZONE",0,IFERROR(ROUND(IF($I91="",$J91,$I91)*IF($L91="",$M91,$L91),2),0)))</f>
        <v>0</v>
      </c>
      <c r="W91" s="46" t="n">
        <f aca="false">IF($T91&lt;&gt;"TAK",0,IF($O91="NIEPOLICZONE",0,IFERROR(ROUND($J91*$M91,2),0)))</f>
        <v>0</v>
      </c>
      <c r="X91" s="35" t="n">
        <f aca="false">IF($T91&lt;&gt;"TAK",0,IF($O91="NIEPOLICZONE",0,IFERROR(ROUND(IF($K91="",$J91,$K91)*IF($N91="",$M91,$N91),2),0)))</f>
        <v>0</v>
      </c>
    </row>
    <row r="92" customFormat="false" ht="18" hidden="false" customHeight="true" outlineLevel="0" collapsed="false">
      <c r="A92" s="25" t="s">
        <v>558</v>
      </c>
      <c r="B92" s="33"/>
      <c r="C92" s="33"/>
      <c r="D92" s="33"/>
      <c r="E92" s="33"/>
      <c r="F92" s="33"/>
      <c r="G92" s="33"/>
      <c r="H92" s="33"/>
      <c r="I92" s="30"/>
      <c r="J92" s="30"/>
      <c r="K92" s="30"/>
      <c r="L92" s="30"/>
      <c r="M92" s="30"/>
      <c r="N92" s="30"/>
      <c r="O92" s="33"/>
      <c r="P92" s="33"/>
      <c r="Q92" s="33"/>
      <c r="R92" s="33"/>
      <c r="S92" s="33"/>
      <c r="T92" s="33"/>
      <c r="U92" s="33"/>
      <c r="V92" s="35" t="n">
        <f aca="false">IF($T92&lt;&gt;"TAK",0,IF($O92="NIEPOLICZONE",0,IFERROR(ROUND(IF($I92="",$J92,$I92)*IF($L92="",$M92,$L92),2),0)))</f>
        <v>0</v>
      </c>
      <c r="W92" s="46" t="n">
        <f aca="false">IF($T92&lt;&gt;"TAK",0,IF($O92="NIEPOLICZONE",0,IFERROR(ROUND($J92*$M92,2),0)))</f>
        <v>0</v>
      </c>
      <c r="X92" s="35" t="n">
        <f aca="false">IF($T92&lt;&gt;"TAK",0,IF($O92="NIEPOLICZONE",0,IFERROR(ROUND(IF($K92="",$J92,$K92)*IF($N92="",$M92,$N92),2),0)))</f>
        <v>0</v>
      </c>
    </row>
    <row r="93" customFormat="false" ht="18" hidden="false" customHeight="true" outlineLevel="0" collapsed="false">
      <c r="A93" s="25" t="s">
        <v>559</v>
      </c>
      <c r="B93" s="33"/>
      <c r="C93" s="33"/>
      <c r="D93" s="33"/>
      <c r="E93" s="33"/>
      <c r="F93" s="33"/>
      <c r="G93" s="33"/>
      <c r="H93" s="33"/>
      <c r="I93" s="30"/>
      <c r="J93" s="30"/>
      <c r="K93" s="30"/>
      <c r="L93" s="30"/>
      <c r="M93" s="30"/>
      <c r="N93" s="30"/>
      <c r="O93" s="33"/>
      <c r="P93" s="33"/>
      <c r="Q93" s="33"/>
      <c r="R93" s="33"/>
      <c r="S93" s="33"/>
      <c r="T93" s="33"/>
      <c r="U93" s="33"/>
      <c r="V93" s="35" t="n">
        <f aca="false">IF($T93&lt;&gt;"TAK",0,IF($O93="NIEPOLICZONE",0,IFERROR(ROUND(IF($I93="",$J93,$I93)*IF($L93="",$M93,$L93),2),0)))</f>
        <v>0</v>
      </c>
      <c r="W93" s="46" t="n">
        <f aca="false">IF($T93&lt;&gt;"TAK",0,IF($O93="NIEPOLICZONE",0,IFERROR(ROUND($J93*$M93,2),0)))</f>
        <v>0</v>
      </c>
      <c r="X93" s="35" t="n">
        <f aca="false">IF($T93&lt;&gt;"TAK",0,IF($O93="NIEPOLICZONE",0,IFERROR(ROUND(IF($K93="",$J93,$K93)*IF($N93="",$M93,$N93),2),0)))</f>
        <v>0</v>
      </c>
    </row>
    <row r="94" customFormat="false" ht="18" hidden="false" customHeight="true" outlineLevel="0" collapsed="false">
      <c r="A94" s="25" t="s">
        <v>560</v>
      </c>
      <c r="B94" s="33"/>
      <c r="C94" s="33"/>
      <c r="D94" s="33"/>
      <c r="E94" s="33"/>
      <c r="F94" s="33"/>
      <c r="G94" s="33"/>
      <c r="H94" s="33"/>
      <c r="I94" s="30"/>
      <c r="J94" s="30"/>
      <c r="K94" s="30"/>
      <c r="L94" s="30"/>
      <c r="M94" s="30"/>
      <c r="N94" s="30"/>
      <c r="O94" s="33"/>
      <c r="P94" s="33"/>
      <c r="Q94" s="33"/>
      <c r="R94" s="33"/>
      <c r="S94" s="33"/>
      <c r="T94" s="33"/>
      <c r="U94" s="33"/>
      <c r="V94" s="35" t="n">
        <f aca="false">IF($T94&lt;&gt;"TAK",0,IF($O94="NIEPOLICZONE",0,IFERROR(ROUND(IF($I94="",$J94,$I94)*IF($L94="",$M94,$L94),2),0)))</f>
        <v>0</v>
      </c>
      <c r="W94" s="46" t="n">
        <f aca="false">IF($T94&lt;&gt;"TAK",0,IF($O94="NIEPOLICZONE",0,IFERROR(ROUND($J94*$M94,2),0)))</f>
        <v>0</v>
      </c>
      <c r="X94" s="35" t="n">
        <f aca="false">IF($T94&lt;&gt;"TAK",0,IF($O94="NIEPOLICZONE",0,IFERROR(ROUND(IF($K94="",$J94,$K94)*IF($N94="",$M94,$N94),2),0)))</f>
        <v>0</v>
      </c>
    </row>
    <row r="95" customFormat="false" ht="18" hidden="false" customHeight="true" outlineLevel="0" collapsed="false">
      <c r="A95" s="25" t="s">
        <v>561</v>
      </c>
      <c r="B95" s="33"/>
      <c r="C95" s="33"/>
      <c r="D95" s="33"/>
      <c r="E95" s="33"/>
      <c r="F95" s="33"/>
      <c r="G95" s="33"/>
      <c r="H95" s="33"/>
      <c r="I95" s="30"/>
      <c r="J95" s="30"/>
      <c r="K95" s="30"/>
      <c r="L95" s="30"/>
      <c r="M95" s="30"/>
      <c r="N95" s="30"/>
      <c r="O95" s="33"/>
      <c r="P95" s="33"/>
      <c r="Q95" s="33"/>
      <c r="R95" s="33"/>
      <c r="S95" s="33"/>
      <c r="T95" s="33"/>
      <c r="U95" s="33"/>
      <c r="V95" s="35" t="n">
        <f aca="false">IF($T95&lt;&gt;"TAK",0,IF($O95="NIEPOLICZONE",0,IFERROR(ROUND(IF($I95="",$J95,$I95)*IF($L95="",$M95,$L95),2),0)))</f>
        <v>0</v>
      </c>
      <c r="W95" s="46" t="n">
        <f aca="false">IF($T95&lt;&gt;"TAK",0,IF($O95="NIEPOLICZONE",0,IFERROR(ROUND($J95*$M95,2),0)))</f>
        <v>0</v>
      </c>
      <c r="X95" s="35" t="n">
        <f aca="false">IF($T95&lt;&gt;"TAK",0,IF($O95="NIEPOLICZONE",0,IFERROR(ROUND(IF($K95="",$J95,$K95)*IF($N95="",$M95,$N95),2),0)))</f>
        <v>0</v>
      </c>
    </row>
    <row r="96" customFormat="false" ht="18" hidden="false" customHeight="true" outlineLevel="0" collapsed="false">
      <c r="A96" s="25" t="s">
        <v>562</v>
      </c>
      <c r="B96" s="33"/>
      <c r="C96" s="33"/>
      <c r="D96" s="33"/>
      <c r="E96" s="33"/>
      <c r="F96" s="33"/>
      <c r="G96" s="33"/>
      <c r="H96" s="33"/>
      <c r="I96" s="30"/>
      <c r="J96" s="30"/>
      <c r="K96" s="30"/>
      <c r="L96" s="30"/>
      <c r="M96" s="30"/>
      <c r="N96" s="30"/>
      <c r="O96" s="33"/>
      <c r="P96" s="33"/>
      <c r="Q96" s="33"/>
      <c r="R96" s="33"/>
      <c r="S96" s="33"/>
      <c r="T96" s="33"/>
      <c r="U96" s="33"/>
      <c r="V96" s="35" t="n">
        <f aca="false">IF($T96&lt;&gt;"TAK",0,IF($O96="NIEPOLICZONE",0,IFERROR(ROUND(IF($I96="",$J96,$I96)*IF($L96="",$M96,$L96),2),0)))</f>
        <v>0</v>
      </c>
      <c r="W96" s="46" t="n">
        <f aca="false">IF($T96&lt;&gt;"TAK",0,IF($O96="NIEPOLICZONE",0,IFERROR(ROUND($J96*$M96,2),0)))</f>
        <v>0</v>
      </c>
      <c r="X96" s="35" t="n">
        <f aca="false">IF($T96&lt;&gt;"TAK",0,IF($O96="NIEPOLICZONE",0,IFERROR(ROUND(IF($K96="",$J96,$K96)*IF($N96="",$M96,$N96),2),0)))</f>
        <v>0</v>
      </c>
    </row>
    <row r="97" customFormat="false" ht="18" hidden="false" customHeight="true" outlineLevel="0" collapsed="false">
      <c r="A97" s="25" t="s">
        <v>563</v>
      </c>
      <c r="B97" s="33"/>
      <c r="C97" s="33"/>
      <c r="D97" s="33"/>
      <c r="E97" s="33"/>
      <c r="F97" s="33"/>
      <c r="G97" s="33"/>
      <c r="H97" s="33"/>
      <c r="I97" s="30"/>
      <c r="J97" s="30"/>
      <c r="K97" s="30"/>
      <c r="L97" s="30"/>
      <c r="M97" s="30"/>
      <c r="N97" s="30"/>
      <c r="O97" s="33"/>
      <c r="P97" s="33"/>
      <c r="Q97" s="33"/>
      <c r="R97" s="33"/>
      <c r="S97" s="33"/>
      <c r="T97" s="33"/>
      <c r="U97" s="33"/>
      <c r="V97" s="35" t="n">
        <f aca="false">IF($T97&lt;&gt;"TAK",0,IF($O97="NIEPOLICZONE",0,IFERROR(ROUND(IF($I97="",$J97,$I97)*IF($L97="",$M97,$L97),2),0)))</f>
        <v>0</v>
      </c>
      <c r="W97" s="46" t="n">
        <f aca="false">IF($T97&lt;&gt;"TAK",0,IF($O97="NIEPOLICZONE",0,IFERROR(ROUND($J97*$M97,2),0)))</f>
        <v>0</v>
      </c>
      <c r="X97" s="35" t="n">
        <f aca="false">IF($T97&lt;&gt;"TAK",0,IF($O97="NIEPOLICZONE",0,IFERROR(ROUND(IF($K97="",$J97,$K97)*IF($N97="",$M97,$N97),2),0)))</f>
        <v>0</v>
      </c>
    </row>
    <row r="98" customFormat="false" ht="18" hidden="false" customHeight="true" outlineLevel="0" collapsed="false">
      <c r="A98" s="25" t="s">
        <v>564</v>
      </c>
      <c r="B98" s="33"/>
      <c r="C98" s="33"/>
      <c r="D98" s="33"/>
      <c r="E98" s="33"/>
      <c r="F98" s="33"/>
      <c r="G98" s="33"/>
      <c r="H98" s="33"/>
      <c r="I98" s="30"/>
      <c r="J98" s="30"/>
      <c r="K98" s="30"/>
      <c r="L98" s="30"/>
      <c r="M98" s="30"/>
      <c r="N98" s="30"/>
      <c r="O98" s="33"/>
      <c r="P98" s="33"/>
      <c r="Q98" s="33"/>
      <c r="R98" s="33"/>
      <c r="S98" s="33"/>
      <c r="T98" s="33"/>
      <c r="U98" s="33"/>
      <c r="V98" s="35" t="n">
        <f aca="false">IF($T98&lt;&gt;"TAK",0,IF($O98="NIEPOLICZONE",0,IFERROR(ROUND(IF($I98="",$J98,$I98)*IF($L98="",$M98,$L98),2),0)))</f>
        <v>0</v>
      </c>
      <c r="W98" s="46" t="n">
        <f aca="false">IF($T98&lt;&gt;"TAK",0,IF($O98="NIEPOLICZONE",0,IFERROR(ROUND($J98*$M98,2),0)))</f>
        <v>0</v>
      </c>
      <c r="X98" s="35" t="n">
        <f aca="false">IF($T98&lt;&gt;"TAK",0,IF($O98="NIEPOLICZONE",0,IFERROR(ROUND(IF($K98="",$J98,$K98)*IF($N98="",$M98,$N98),2),0)))</f>
        <v>0</v>
      </c>
    </row>
    <row r="99" customFormat="false" ht="18" hidden="false" customHeight="true" outlineLevel="0" collapsed="false">
      <c r="A99" s="25" t="s">
        <v>565</v>
      </c>
      <c r="B99" s="33"/>
      <c r="C99" s="33"/>
      <c r="D99" s="33"/>
      <c r="E99" s="33"/>
      <c r="F99" s="33"/>
      <c r="G99" s="33"/>
      <c r="H99" s="33"/>
      <c r="I99" s="30"/>
      <c r="J99" s="30"/>
      <c r="K99" s="30"/>
      <c r="L99" s="30"/>
      <c r="M99" s="30"/>
      <c r="N99" s="30"/>
      <c r="O99" s="33"/>
      <c r="P99" s="33"/>
      <c r="Q99" s="33"/>
      <c r="R99" s="33"/>
      <c r="S99" s="33"/>
      <c r="T99" s="33"/>
      <c r="U99" s="33"/>
      <c r="V99" s="35" t="n">
        <f aca="false">IF($T99&lt;&gt;"TAK",0,IF($O99="NIEPOLICZONE",0,IFERROR(ROUND(IF($I99="",$J99,$I99)*IF($L99="",$M99,$L99),2),0)))</f>
        <v>0</v>
      </c>
      <c r="W99" s="46" t="n">
        <f aca="false">IF($T99&lt;&gt;"TAK",0,IF($O99="NIEPOLICZONE",0,IFERROR(ROUND($J99*$M99,2),0)))</f>
        <v>0</v>
      </c>
      <c r="X99" s="35" t="n">
        <f aca="false">IF($T99&lt;&gt;"TAK",0,IF($O99="NIEPOLICZONE",0,IFERROR(ROUND(IF($K99="",$J99,$K99)*IF($N99="",$M99,$N99),2),0)))</f>
        <v>0</v>
      </c>
    </row>
    <row r="100" customFormat="false" ht="18" hidden="false" customHeight="true" outlineLevel="0" collapsed="false">
      <c r="A100" s="25" t="s">
        <v>566</v>
      </c>
      <c r="B100" s="33"/>
      <c r="C100" s="33"/>
      <c r="D100" s="33"/>
      <c r="E100" s="33"/>
      <c r="F100" s="33"/>
      <c r="G100" s="33"/>
      <c r="H100" s="33"/>
      <c r="I100" s="30"/>
      <c r="J100" s="30"/>
      <c r="K100" s="30"/>
      <c r="L100" s="30"/>
      <c r="M100" s="30"/>
      <c r="N100" s="30"/>
      <c r="O100" s="33"/>
      <c r="P100" s="33"/>
      <c r="Q100" s="33"/>
      <c r="R100" s="33"/>
      <c r="S100" s="33"/>
      <c r="T100" s="33"/>
      <c r="U100" s="33"/>
      <c r="V100" s="35" t="n">
        <f aca="false">IF($T100&lt;&gt;"TAK",0,IF($O100="NIEPOLICZONE",0,IFERROR(ROUND(IF($I100="",$J100,$I100)*IF($L100="",$M100,$L100),2),0)))</f>
        <v>0</v>
      </c>
      <c r="W100" s="46" t="n">
        <f aca="false">IF($T100&lt;&gt;"TAK",0,IF($O100="NIEPOLICZONE",0,IFERROR(ROUND($J100*$M100,2),0)))</f>
        <v>0</v>
      </c>
      <c r="X100" s="35" t="n">
        <f aca="false">IF($T100&lt;&gt;"TAK",0,IF($O100="NIEPOLICZONE",0,IFERROR(ROUND(IF($K100="",$J100,$K100)*IF($N100="",$M100,$N100),2),0)))</f>
        <v>0</v>
      </c>
    </row>
    <row r="101" customFormat="false" ht="18" hidden="false" customHeight="true" outlineLevel="0" collapsed="false">
      <c r="A101" s="25" t="s">
        <v>567</v>
      </c>
      <c r="B101" s="33"/>
      <c r="C101" s="33"/>
      <c r="D101" s="33"/>
      <c r="E101" s="33"/>
      <c r="F101" s="33"/>
      <c r="G101" s="33"/>
      <c r="H101" s="33"/>
      <c r="I101" s="30"/>
      <c r="J101" s="30"/>
      <c r="K101" s="30"/>
      <c r="L101" s="30"/>
      <c r="M101" s="30"/>
      <c r="N101" s="30"/>
      <c r="O101" s="33"/>
      <c r="P101" s="33"/>
      <c r="Q101" s="33"/>
      <c r="R101" s="33"/>
      <c r="S101" s="33"/>
      <c r="T101" s="33"/>
      <c r="U101" s="33"/>
      <c r="V101" s="35" t="n">
        <f aca="false">IF($T101&lt;&gt;"TAK",0,IF($O101="NIEPOLICZONE",0,IFERROR(ROUND(IF($I101="",$J101,$I101)*IF($L101="",$M101,$L101),2),0)))</f>
        <v>0</v>
      </c>
      <c r="W101" s="46" t="n">
        <f aca="false">IF($T101&lt;&gt;"TAK",0,IF($O101="NIEPOLICZONE",0,IFERROR(ROUND($J101*$M101,2),0)))</f>
        <v>0</v>
      </c>
      <c r="X101" s="35" t="n">
        <f aca="false">IF($T101&lt;&gt;"TAK",0,IF($O101="NIEPOLICZONE",0,IFERROR(ROUND(IF($K101="",$J101,$K101)*IF($N101="",$M101,$N101),2),0)))</f>
        <v>0</v>
      </c>
    </row>
    <row r="102" customFormat="false" ht="18" hidden="false" customHeight="true" outlineLevel="0" collapsed="false">
      <c r="A102" s="25" t="s">
        <v>568</v>
      </c>
      <c r="B102" s="33"/>
      <c r="C102" s="33"/>
      <c r="D102" s="33"/>
      <c r="E102" s="33"/>
      <c r="F102" s="33"/>
      <c r="G102" s="33"/>
      <c r="H102" s="33"/>
      <c r="I102" s="30"/>
      <c r="J102" s="30"/>
      <c r="K102" s="30"/>
      <c r="L102" s="30"/>
      <c r="M102" s="30"/>
      <c r="N102" s="30"/>
      <c r="O102" s="33"/>
      <c r="P102" s="33"/>
      <c r="Q102" s="33"/>
      <c r="R102" s="33"/>
      <c r="S102" s="33"/>
      <c r="T102" s="33"/>
      <c r="U102" s="33"/>
      <c r="V102" s="35" t="n">
        <f aca="false">IF($T102&lt;&gt;"TAK",0,IF($O102="NIEPOLICZONE",0,IFERROR(ROUND(IF($I102="",$J102,$I102)*IF($L102="",$M102,$L102),2),0)))</f>
        <v>0</v>
      </c>
      <c r="W102" s="46" t="n">
        <f aca="false">IF($T102&lt;&gt;"TAK",0,IF($O102="NIEPOLICZONE",0,IFERROR(ROUND($J102*$M102,2),0)))</f>
        <v>0</v>
      </c>
      <c r="X102" s="35" t="n">
        <f aca="false">IF($T102&lt;&gt;"TAK",0,IF($O102="NIEPOLICZONE",0,IFERROR(ROUND(IF($K102="",$J102,$K102)*IF($N102="",$M102,$N102),2),0)))</f>
        <v>0</v>
      </c>
    </row>
    <row r="103" customFormat="false" ht="18" hidden="false" customHeight="true" outlineLevel="0" collapsed="false">
      <c r="A103" s="25" t="s">
        <v>569</v>
      </c>
      <c r="B103" s="33"/>
      <c r="C103" s="33"/>
      <c r="D103" s="33"/>
      <c r="E103" s="33"/>
      <c r="F103" s="33"/>
      <c r="G103" s="33"/>
      <c r="H103" s="33"/>
      <c r="I103" s="30"/>
      <c r="J103" s="30"/>
      <c r="K103" s="30"/>
      <c r="L103" s="30"/>
      <c r="M103" s="30"/>
      <c r="N103" s="30"/>
      <c r="O103" s="33"/>
      <c r="P103" s="33"/>
      <c r="Q103" s="33"/>
      <c r="R103" s="33"/>
      <c r="S103" s="33"/>
      <c r="T103" s="33"/>
      <c r="U103" s="33"/>
      <c r="V103" s="35" t="n">
        <f aca="false">IF($T103&lt;&gt;"TAK",0,IF($O103="NIEPOLICZONE",0,IFERROR(ROUND(IF($I103="",$J103,$I103)*IF($L103="",$M103,$L103),2),0)))</f>
        <v>0</v>
      </c>
      <c r="W103" s="46" t="n">
        <f aca="false">IF($T103&lt;&gt;"TAK",0,IF($O103="NIEPOLICZONE",0,IFERROR(ROUND($J103*$M103,2),0)))</f>
        <v>0</v>
      </c>
      <c r="X103" s="35" t="n">
        <f aca="false">IF($T103&lt;&gt;"TAK",0,IF($O103="NIEPOLICZONE",0,IFERROR(ROUND(IF($K103="",$J103,$K103)*IF($N103="",$M103,$N103),2),0)))</f>
        <v>0</v>
      </c>
    </row>
    <row r="104" customFormat="false" ht="18" hidden="false" customHeight="true" outlineLevel="0" collapsed="false">
      <c r="A104" s="25" t="s">
        <v>570</v>
      </c>
      <c r="B104" s="33"/>
      <c r="C104" s="33"/>
      <c r="D104" s="33"/>
      <c r="E104" s="33"/>
      <c r="F104" s="33"/>
      <c r="G104" s="33"/>
      <c r="H104" s="33"/>
      <c r="I104" s="30"/>
      <c r="J104" s="30"/>
      <c r="K104" s="30"/>
      <c r="L104" s="30"/>
      <c r="M104" s="30"/>
      <c r="N104" s="30"/>
      <c r="O104" s="33"/>
      <c r="P104" s="33"/>
      <c r="Q104" s="33"/>
      <c r="R104" s="33"/>
      <c r="S104" s="33"/>
      <c r="T104" s="33"/>
      <c r="U104" s="33"/>
      <c r="V104" s="35" t="n">
        <f aca="false">IF($T104&lt;&gt;"TAK",0,IF($O104="NIEPOLICZONE",0,IFERROR(ROUND(IF($I104="",$J104,$I104)*IF($L104="",$M104,$L104),2),0)))</f>
        <v>0</v>
      </c>
      <c r="W104" s="46" t="n">
        <f aca="false">IF($T104&lt;&gt;"TAK",0,IF($O104="NIEPOLICZONE",0,IFERROR(ROUND($J104*$M104,2),0)))</f>
        <v>0</v>
      </c>
      <c r="X104" s="35" t="n">
        <f aca="false">IF($T104&lt;&gt;"TAK",0,IF($O104="NIEPOLICZONE",0,IFERROR(ROUND(IF($K104="",$J104,$K104)*IF($N104="",$M104,$N104),2),0)))</f>
        <v>0</v>
      </c>
    </row>
    <row r="105" customFormat="false" ht="18" hidden="false" customHeight="true" outlineLevel="0" collapsed="false">
      <c r="A105" s="25" t="s">
        <v>571</v>
      </c>
      <c r="B105" s="33"/>
      <c r="C105" s="33"/>
      <c r="D105" s="33"/>
      <c r="E105" s="33"/>
      <c r="F105" s="33"/>
      <c r="G105" s="33"/>
      <c r="H105" s="33"/>
      <c r="I105" s="30"/>
      <c r="J105" s="30"/>
      <c r="K105" s="30"/>
      <c r="L105" s="30"/>
      <c r="M105" s="30"/>
      <c r="N105" s="30"/>
      <c r="O105" s="33"/>
      <c r="P105" s="33"/>
      <c r="Q105" s="33"/>
      <c r="R105" s="33"/>
      <c r="S105" s="33"/>
      <c r="T105" s="33"/>
      <c r="U105" s="33"/>
      <c r="V105" s="35" t="n">
        <f aca="false">IF($T105&lt;&gt;"TAK",0,IF($O105="NIEPOLICZONE",0,IFERROR(ROUND(IF($I105="",$J105,$I105)*IF($L105="",$M105,$L105),2),0)))</f>
        <v>0</v>
      </c>
      <c r="W105" s="46" t="n">
        <f aca="false">IF($T105&lt;&gt;"TAK",0,IF($O105="NIEPOLICZONE",0,IFERROR(ROUND($J105*$M105,2),0)))</f>
        <v>0</v>
      </c>
      <c r="X105" s="35" t="n">
        <f aca="false">IF($T105&lt;&gt;"TAK",0,IF($O105="NIEPOLICZONE",0,IFERROR(ROUND(IF($K105="",$J105,$K105)*IF($N105="",$M105,$N105),2),0)))</f>
        <v>0</v>
      </c>
    </row>
    <row r="106" customFormat="false" ht="18" hidden="false" customHeight="true" outlineLevel="0" collapsed="false">
      <c r="A106" s="25" t="s">
        <v>572</v>
      </c>
      <c r="B106" s="33"/>
      <c r="C106" s="33"/>
      <c r="D106" s="33"/>
      <c r="E106" s="33"/>
      <c r="F106" s="33"/>
      <c r="G106" s="33"/>
      <c r="H106" s="33"/>
      <c r="I106" s="30"/>
      <c r="J106" s="30"/>
      <c r="K106" s="30"/>
      <c r="L106" s="30"/>
      <c r="M106" s="30"/>
      <c r="N106" s="30"/>
      <c r="O106" s="33"/>
      <c r="P106" s="33"/>
      <c r="Q106" s="33"/>
      <c r="R106" s="33"/>
      <c r="S106" s="33"/>
      <c r="T106" s="33"/>
      <c r="U106" s="33"/>
      <c r="V106" s="35" t="n">
        <f aca="false">IF($T106&lt;&gt;"TAK",0,IF($O106="NIEPOLICZONE",0,IFERROR(ROUND(IF($I106="",$J106,$I106)*IF($L106="",$M106,$L106),2),0)))</f>
        <v>0</v>
      </c>
      <c r="W106" s="46" t="n">
        <f aca="false">IF($T106&lt;&gt;"TAK",0,IF($O106="NIEPOLICZONE",0,IFERROR(ROUND($J106*$M106,2),0)))</f>
        <v>0</v>
      </c>
      <c r="X106" s="35" t="n">
        <f aca="false">IF($T106&lt;&gt;"TAK",0,IF($O106="NIEPOLICZONE",0,IFERROR(ROUND(IF($K106="",$J106,$K106)*IF($N106="",$M106,$N106),2),0)))</f>
        <v>0</v>
      </c>
    </row>
    <row r="107" customFormat="false" ht="18" hidden="false" customHeight="true" outlineLevel="0" collapsed="false">
      <c r="A107" s="25" t="s">
        <v>573</v>
      </c>
      <c r="B107" s="33"/>
      <c r="C107" s="33"/>
      <c r="D107" s="33"/>
      <c r="E107" s="33"/>
      <c r="F107" s="33"/>
      <c r="G107" s="33"/>
      <c r="H107" s="33"/>
      <c r="I107" s="30"/>
      <c r="J107" s="30"/>
      <c r="K107" s="30"/>
      <c r="L107" s="30"/>
      <c r="M107" s="30"/>
      <c r="N107" s="30"/>
      <c r="O107" s="33"/>
      <c r="P107" s="33"/>
      <c r="Q107" s="33"/>
      <c r="R107" s="33"/>
      <c r="S107" s="33"/>
      <c r="T107" s="33"/>
      <c r="U107" s="33"/>
      <c r="V107" s="35" t="n">
        <f aca="false">IF($T107&lt;&gt;"TAK",0,IF($O107="NIEPOLICZONE",0,IFERROR(ROUND(IF($I107="",$J107,$I107)*IF($L107="",$M107,$L107),2),0)))</f>
        <v>0</v>
      </c>
      <c r="W107" s="46" t="n">
        <f aca="false">IF($T107&lt;&gt;"TAK",0,IF($O107="NIEPOLICZONE",0,IFERROR(ROUND($J107*$M107,2),0)))</f>
        <v>0</v>
      </c>
      <c r="X107" s="35" t="n">
        <f aca="false">IF($T107&lt;&gt;"TAK",0,IF($O107="NIEPOLICZONE",0,IFERROR(ROUND(IF($K107="",$J107,$K107)*IF($N107="",$M107,$N107),2),0)))</f>
        <v>0</v>
      </c>
    </row>
    <row r="108" customFormat="false" ht="18" hidden="false" customHeight="true" outlineLevel="0" collapsed="false">
      <c r="A108" s="25" t="s">
        <v>574</v>
      </c>
      <c r="B108" s="33"/>
      <c r="C108" s="33"/>
      <c r="D108" s="33"/>
      <c r="E108" s="33"/>
      <c r="F108" s="33"/>
      <c r="G108" s="33"/>
      <c r="H108" s="33"/>
      <c r="I108" s="30"/>
      <c r="J108" s="30"/>
      <c r="K108" s="30"/>
      <c r="L108" s="30"/>
      <c r="M108" s="30"/>
      <c r="N108" s="30"/>
      <c r="O108" s="33"/>
      <c r="P108" s="33"/>
      <c r="Q108" s="33"/>
      <c r="R108" s="33"/>
      <c r="S108" s="33"/>
      <c r="T108" s="33"/>
      <c r="U108" s="33"/>
      <c r="V108" s="35" t="n">
        <f aca="false">IF($T108&lt;&gt;"TAK",0,IF($O108="NIEPOLICZONE",0,IFERROR(ROUND(IF($I108="",$J108,$I108)*IF($L108="",$M108,$L108),2),0)))</f>
        <v>0</v>
      </c>
      <c r="W108" s="46" t="n">
        <f aca="false">IF($T108&lt;&gt;"TAK",0,IF($O108="NIEPOLICZONE",0,IFERROR(ROUND($J108*$M108,2),0)))</f>
        <v>0</v>
      </c>
      <c r="X108" s="35" t="n">
        <f aca="false">IF($T108&lt;&gt;"TAK",0,IF($O108="NIEPOLICZONE",0,IFERROR(ROUND(IF($K108="",$J108,$K108)*IF($N108="",$M108,$N108),2),0)))</f>
        <v>0</v>
      </c>
    </row>
    <row r="109" customFormat="false" ht="18" hidden="false" customHeight="true" outlineLevel="0" collapsed="false">
      <c r="A109" s="25" t="s">
        <v>575</v>
      </c>
      <c r="B109" s="33"/>
      <c r="C109" s="33"/>
      <c r="D109" s="33"/>
      <c r="E109" s="33"/>
      <c r="F109" s="33"/>
      <c r="G109" s="33"/>
      <c r="H109" s="33"/>
      <c r="I109" s="30"/>
      <c r="J109" s="30"/>
      <c r="K109" s="30"/>
      <c r="L109" s="30"/>
      <c r="M109" s="30"/>
      <c r="N109" s="30"/>
      <c r="O109" s="33"/>
      <c r="P109" s="33"/>
      <c r="Q109" s="33"/>
      <c r="R109" s="33"/>
      <c r="S109" s="33"/>
      <c r="T109" s="33"/>
      <c r="U109" s="33"/>
      <c r="V109" s="35" t="n">
        <f aca="false">IF($T109&lt;&gt;"TAK",0,IF($O109="NIEPOLICZONE",0,IFERROR(ROUND(IF($I109="",$J109,$I109)*IF($L109="",$M109,$L109),2),0)))</f>
        <v>0</v>
      </c>
      <c r="W109" s="46" t="n">
        <f aca="false">IF($T109&lt;&gt;"TAK",0,IF($O109="NIEPOLICZONE",0,IFERROR(ROUND($J109*$M109,2),0)))</f>
        <v>0</v>
      </c>
      <c r="X109" s="35" t="n">
        <f aca="false">IF($T109&lt;&gt;"TAK",0,IF($O109="NIEPOLICZONE",0,IFERROR(ROUND(IF($K109="",$J109,$K109)*IF($N109="",$M109,$N109),2),0)))</f>
        <v>0</v>
      </c>
    </row>
    <row r="110" customFormat="false" ht="18" hidden="false" customHeight="true" outlineLevel="0" collapsed="false">
      <c r="A110" s="25" t="s">
        <v>576</v>
      </c>
      <c r="B110" s="33"/>
      <c r="C110" s="33"/>
      <c r="D110" s="33"/>
      <c r="E110" s="33"/>
      <c r="F110" s="33"/>
      <c r="G110" s="33"/>
      <c r="H110" s="33"/>
      <c r="I110" s="30"/>
      <c r="J110" s="30"/>
      <c r="K110" s="30"/>
      <c r="L110" s="30"/>
      <c r="M110" s="30"/>
      <c r="N110" s="30"/>
      <c r="O110" s="33"/>
      <c r="P110" s="33"/>
      <c r="Q110" s="33"/>
      <c r="R110" s="33"/>
      <c r="S110" s="33"/>
      <c r="T110" s="33"/>
      <c r="U110" s="33"/>
      <c r="V110" s="35" t="n">
        <f aca="false">IF($T110&lt;&gt;"TAK",0,IF($O110="NIEPOLICZONE",0,IFERROR(ROUND(IF($I110="",$J110,$I110)*IF($L110="",$M110,$L110),2),0)))</f>
        <v>0</v>
      </c>
      <c r="W110" s="46" t="n">
        <f aca="false">IF($T110&lt;&gt;"TAK",0,IF($O110="NIEPOLICZONE",0,IFERROR(ROUND($J110*$M110,2),0)))</f>
        <v>0</v>
      </c>
      <c r="X110" s="35" t="n">
        <f aca="false">IF($T110&lt;&gt;"TAK",0,IF($O110="NIEPOLICZONE",0,IFERROR(ROUND(IF($K110="",$J110,$K110)*IF($N110="",$M110,$N110),2),0)))</f>
        <v>0</v>
      </c>
    </row>
    <row r="111" customFormat="false" ht="18" hidden="false" customHeight="true" outlineLevel="0" collapsed="false">
      <c r="A111" s="25" t="s">
        <v>577</v>
      </c>
      <c r="B111" s="33"/>
      <c r="C111" s="33"/>
      <c r="D111" s="33"/>
      <c r="E111" s="33"/>
      <c r="F111" s="33"/>
      <c r="G111" s="33"/>
      <c r="H111" s="33"/>
      <c r="I111" s="30"/>
      <c r="J111" s="30"/>
      <c r="K111" s="30"/>
      <c r="L111" s="30"/>
      <c r="M111" s="30"/>
      <c r="N111" s="30"/>
      <c r="O111" s="33"/>
      <c r="P111" s="33"/>
      <c r="Q111" s="33"/>
      <c r="R111" s="33"/>
      <c r="S111" s="33"/>
      <c r="T111" s="33"/>
      <c r="U111" s="33"/>
      <c r="V111" s="35" t="n">
        <f aca="false">IF($T111&lt;&gt;"TAK",0,IF($O111="NIEPOLICZONE",0,IFERROR(ROUND(IF($I111="",$J111,$I111)*IF($L111="",$M111,$L111),2),0)))</f>
        <v>0</v>
      </c>
      <c r="W111" s="46" t="n">
        <f aca="false">IF($T111&lt;&gt;"TAK",0,IF($O111="NIEPOLICZONE",0,IFERROR(ROUND($J111*$M111,2),0)))</f>
        <v>0</v>
      </c>
      <c r="X111" s="35" t="n">
        <f aca="false">IF($T111&lt;&gt;"TAK",0,IF($O111="NIEPOLICZONE",0,IFERROR(ROUND(IF($K111="",$J111,$K111)*IF($N111="",$M111,$N111),2),0)))</f>
        <v>0</v>
      </c>
    </row>
    <row r="112" customFormat="false" ht="18" hidden="false" customHeight="true" outlineLevel="0" collapsed="false">
      <c r="A112" s="25" t="s">
        <v>578</v>
      </c>
      <c r="B112" s="33"/>
      <c r="C112" s="33"/>
      <c r="D112" s="33"/>
      <c r="E112" s="33"/>
      <c r="F112" s="33"/>
      <c r="G112" s="33"/>
      <c r="H112" s="33"/>
      <c r="I112" s="30"/>
      <c r="J112" s="30"/>
      <c r="K112" s="30"/>
      <c r="L112" s="30"/>
      <c r="M112" s="30"/>
      <c r="N112" s="30"/>
      <c r="O112" s="33"/>
      <c r="P112" s="33"/>
      <c r="Q112" s="33"/>
      <c r="R112" s="33"/>
      <c r="S112" s="33"/>
      <c r="T112" s="33"/>
      <c r="U112" s="33"/>
      <c r="V112" s="35" t="n">
        <f aca="false">IF($T112&lt;&gt;"TAK",0,IF($O112="NIEPOLICZONE",0,IFERROR(ROUND(IF($I112="",$J112,$I112)*IF($L112="",$M112,$L112),2),0)))</f>
        <v>0</v>
      </c>
      <c r="W112" s="46" t="n">
        <f aca="false">IF($T112&lt;&gt;"TAK",0,IF($O112="NIEPOLICZONE",0,IFERROR(ROUND($J112*$M112,2),0)))</f>
        <v>0</v>
      </c>
      <c r="X112" s="35" t="n">
        <f aca="false">IF($T112&lt;&gt;"TAK",0,IF($O112="NIEPOLICZONE",0,IFERROR(ROUND(IF($K112="",$J112,$K112)*IF($N112="",$M112,$N112),2),0)))</f>
        <v>0</v>
      </c>
    </row>
    <row r="113" customFormat="false" ht="18" hidden="false" customHeight="true" outlineLevel="0" collapsed="false">
      <c r="A113" s="25" t="s">
        <v>579</v>
      </c>
      <c r="B113" s="33"/>
      <c r="C113" s="33"/>
      <c r="D113" s="33"/>
      <c r="E113" s="33"/>
      <c r="F113" s="33"/>
      <c r="G113" s="33"/>
      <c r="H113" s="33"/>
      <c r="I113" s="30"/>
      <c r="J113" s="30"/>
      <c r="K113" s="30"/>
      <c r="L113" s="30"/>
      <c r="M113" s="30"/>
      <c r="N113" s="30"/>
      <c r="O113" s="33"/>
      <c r="P113" s="33"/>
      <c r="Q113" s="33"/>
      <c r="R113" s="33"/>
      <c r="S113" s="33"/>
      <c r="T113" s="33"/>
      <c r="U113" s="33"/>
      <c r="V113" s="35" t="n">
        <f aca="false">IF($T113&lt;&gt;"TAK",0,IF($O113="NIEPOLICZONE",0,IFERROR(ROUND(IF($I113="",$J113,$I113)*IF($L113="",$M113,$L113),2),0)))</f>
        <v>0</v>
      </c>
      <c r="W113" s="46" t="n">
        <f aca="false">IF($T113&lt;&gt;"TAK",0,IF($O113="NIEPOLICZONE",0,IFERROR(ROUND($J113*$M113,2),0)))</f>
        <v>0</v>
      </c>
      <c r="X113" s="35" t="n">
        <f aca="false">IF($T113&lt;&gt;"TAK",0,IF($O113="NIEPOLICZONE",0,IFERROR(ROUND(IF($K113="",$J113,$K113)*IF($N113="",$M113,$N113),2),0)))</f>
        <v>0</v>
      </c>
    </row>
    <row r="114" customFormat="false" ht="18" hidden="false" customHeight="true" outlineLevel="0" collapsed="false">
      <c r="A114" s="25" t="s">
        <v>580</v>
      </c>
      <c r="B114" s="33"/>
      <c r="C114" s="33"/>
      <c r="D114" s="33"/>
      <c r="E114" s="33"/>
      <c r="F114" s="33"/>
      <c r="G114" s="33"/>
      <c r="H114" s="33"/>
      <c r="I114" s="30"/>
      <c r="J114" s="30"/>
      <c r="K114" s="30"/>
      <c r="L114" s="30"/>
      <c r="M114" s="30"/>
      <c r="N114" s="30"/>
      <c r="O114" s="33"/>
      <c r="P114" s="33"/>
      <c r="Q114" s="33"/>
      <c r="R114" s="33"/>
      <c r="S114" s="33"/>
      <c r="T114" s="33"/>
      <c r="U114" s="33"/>
      <c r="V114" s="35" t="n">
        <f aca="false">IF($T114&lt;&gt;"TAK",0,IF($O114="NIEPOLICZONE",0,IFERROR(ROUND(IF($I114="",$J114,$I114)*IF($L114="",$M114,$L114),2),0)))</f>
        <v>0</v>
      </c>
      <c r="W114" s="46" t="n">
        <f aca="false">IF($T114&lt;&gt;"TAK",0,IF($O114="NIEPOLICZONE",0,IFERROR(ROUND($J114*$M114,2),0)))</f>
        <v>0</v>
      </c>
      <c r="X114" s="35" t="n">
        <f aca="false">IF($T114&lt;&gt;"TAK",0,IF($O114="NIEPOLICZONE",0,IFERROR(ROUND(IF($K114="",$J114,$K114)*IF($N114="",$M114,$N114),2),0)))</f>
        <v>0</v>
      </c>
    </row>
    <row r="115" customFormat="false" ht="18" hidden="false" customHeight="true" outlineLevel="0" collapsed="false">
      <c r="A115" s="25" t="s">
        <v>581</v>
      </c>
      <c r="B115" s="33"/>
      <c r="C115" s="33"/>
      <c r="D115" s="33"/>
      <c r="E115" s="33"/>
      <c r="F115" s="33"/>
      <c r="G115" s="33"/>
      <c r="H115" s="33"/>
      <c r="I115" s="30"/>
      <c r="J115" s="30"/>
      <c r="K115" s="30"/>
      <c r="L115" s="30"/>
      <c r="M115" s="30"/>
      <c r="N115" s="30"/>
      <c r="O115" s="33"/>
      <c r="P115" s="33"/>
      <c r="Q115" s="33"/>
      <c r="R115" s="33"/>
      <c r="S115" s="33"/>
      <c r="T115" s="33"/>
      <c r="U115" s="33"/>
      <c r="V115" s="35" t="n">
        <f aca="false">IF($T115&lt;&gt;"TAK",0,IF($O115="NIEPOLICZONE",0,IFERROR(ROUND(IF($I115="",$J115,$I115)*IF($L115="",$M115,$L115),2),0)))</f>
        <v>0</v>
      </c>
      <c r="W115" s="46" t="n">
        <f aca="false">IF($T115&lt;&gt;"TAK",0,IF($O115="NIEPOLICZONE",0,IFERROR(ROUND($J115*$M115,2),0)))</f>
        <v>0</v>
      </c>
      <c r="X115" s="35" t="n">
        <f aca="false">IF($T115&lt;&gt;"TAK",0,IF($O115="NIEPOLICZONE",0,IFERROR(ROUND(IF($K115="",$J115,$K115)*IF($N115="",$M115,$N115),2),0)))</f>
        <v>0</v>
      </c>
    </row>
    <row r="116" customFormat="false" ht="18" hidden="false" customHeight="true" outlineLevel="0" collapsed="false">
      <c r="A116" s="25" t="s">
        <v>582</v>
      </c>
      <c r="B116" s="33"/>
      <c r="C116" s="33"/>
      <c r="D116" s="33"/>
      <c r="E116" s="33"/>
      <c r="F116" s="33"/>
      <c r="G116" s="33"/>
      <c r="H116" s="33"/>
      <c r="I116" s="30"/>
      <c r="J116" s="30"/>
      <c r="K116" s="30"/>
      <c r="L116" s="30"/>
      <c r="M116" s="30"/>
      <c r="N116" s="30"/>
      <c r="O116" s="33"/>
      <c r="P116" s="33"/>
      <c r="Q116" s="33"/>
      <c r="R116" s="33"/>
      <c r="S116" s="33"/>
      <c r="T116" s="33"/>
      <c r="U116" s="33"/>
      <c r="V116" s="35" t="n">
        <f aca="false">IF($T116&lt;&gt;"TAK",0,IF($O116="NIEPOLICZONE",0,IFERROR(ROUND(IF($I116="",$J116,$I116)*IF($L116="",$M116,$L116),2),0)))</f>
        <v>0</v>
      </c>
      <c r="W116" s="46" t="n">
        <f aca="false">IF($T116&lt;&gt;"TAK",0,IF($O116="NIEPOLICZONE",0,IFERROR(ROUND($J116*$M116,2),0)))</f>
        <v>0</v>
      </c>
      <c r="X116" s="35" t="n">
        <f aca="false">IF($T116&lt;&gt;"TAK",0,IF($O116="NIEPOLICZONE",0,IFERROR(ROUND(IF($K116="",$J116,$K116)*IF($N116="",$M116,$N116),2),0)))</f>
        <v>0</v>
      </c>
    </row>
    <row r="117" customFormat="false" ht="18" hidden="false" customHeight="true" outlineLevel="0" collapsed="false">
      <c r="A117" s="25" t="s">
        <v>583</v>
      </c>
      <c r="B117" s="33"/>
      <c r="C117" s="33"/>
      <c r="D117" s="33"/>
      <c r="E117" s="33"/>
      <c r="F117" s="33"/>
      <c r="G117" s="33"/>
      <c r="H117" s="33"/>
      <c r="I117" s="30"/>
      <c r="J117" s="30"/>
      <c r="K117" s="30"/>
      <c r="L117" s="30"/>
      <c r="M117" s="30"/>
      <c r="N117" s="30"/>
      <c r="O117" s="33"/>
      <c r="P117" s="33"/>
      <c r="Q117" s="33"/>
      <c r="R117" s="33"/>
      <c r="S117" s="33"/>
      <c r="T117" s="33"/>
      <c r="U117" s="33"/>
      <c r="V117" s="35" t="n">
        <f aca="false">IF($T117&lt;&gt;"TAK",0,IF($O117="NIEPOLICZONE",0,IFERROR(ROUND(IF($I117="",$J117,$I117)*IF($L117="",$M117,$L117),2),0)))</f>
        <v>0</v>
      </c>
      <c r="W117" s="46" t="n">
        <f aca="false">IF($T117&lt;&gt;"TAK",0,IF($O117="NIEPOLICZONE",0,IFERROR(ROUND($J117*$M117,2),0)))</f>
        <v>0</v>
      </c>
      <c r="X117" s="35" t="n">
        <f aca="false">IF($T117&lt;&gt;"TAK",0,IF($O117="NIEPOLICZONE",0,IFERROR(ROUND(IF($K117="",$J117,$K117)*IF($N117="",$M117,$N117),2),0)))</f>
        <v>0</v>
      </c>
    </row>
    <row r="118" customFormat="false" ht="18" hidden="false" customHeight="true" outlineLevel="0" collapsed="false">
      <c r="A118" s="25" t="s">
        <v>584</v>
      </c>
      <c r="B118" s="33"/>
      <c r="C118" s="33"/>
      <c r="D118" s="33"/>
      <c r="E118" s="33"/>
      <c r="F118" s="33"/>
      <c r="G118" s="33"/>
      <c r="H118" s="33"/>
      <c r="I118" s="30"/>
      <c r="J118" s="30"/>
      <c r="K118" s="30"/>
      <c r="L118" s="30"/>
      <c r="M118" s="30"/>
      <c r="N118" s="30"/>
      <c r="O118" s="33"/>
      <c r="P118" s="33"/>
      <c r="Q118" s="33"/>
      <c r="R118" s="33"/>
      <c r="S118" s="33"/>
      <c r="T118" s="33"/>
      <c r="U118" s="33"/>
      <c r="V118" s="35" t="n">
        <f aca="false">IF($T118&lt;&gt;"TAK",0,IF($O118="NIEPOLICZONE",0,IFERROR(ROUND(IF($I118="",$J118,$I118)*IF($L118="",$M118,$L118),2),0)))</f>
        <v>0</v>
      </c>
      <c r="W118" s="46" t="n">
        <f aca="false">IF($T118&lt;&gt;"TAK",0,IF($O118="NIEPOLICZONE",0,IFERROR(ROUND($J118*$M118,2),0)))</f>
        <v>0</v>
      </c>
      <c r="X118" s="35" t="n">
        <f aca="false">IF($T118&lt;&gt;"TAK",0,IF($O118="NIEPOLICZONE",0,IFERROR(ROUND(IF($K118="",$J118,$K118)*IF($N118="",$M118,$N118),2),0)))</f>
        <v>0</v>
      </c>
    </row>
    <row r="119" customFormat="false" ht="18" hidden="false" customHeight="true" outlineLevel="0" collapsed="false">
      <c r="A119" s="25" t="s">
        <v>585</v>
      </c>
      <c r="B119" s="33"/>
      <c r="C119" s="33"/>
      <c r="D119" s="33"/>
      <c r="E119" s="33"/>
      <c r="F119" s="33"/>
      <c r="G119" s="33"/>
      <c r="H119" s="33"/>
      <c r="I119" s="30"/>
      <c r="J119" s="30"/>
      <c r="K119" s="30"/>
      <c r="L119" s="30"/>
      <c r="M119" s="30"/>
      <c r="N119" s="30"/>
      <c r="O119" s="33"/>
      <c r="P119" s="33"/>
      <c r="Q119" s="33"/>
      <c r="R119" s="33"/>
      <c r="S119" s="33"/>
      <c r="T119" s="33"/>
      <c r="U119" s="33"/>
      <c r="V119" s="35" t="n">
        <f aca="false">IF($T119&lt;&gt;"TAK",0,IF($O119="NIEPOLICZONE",0,IFERROR(ROUND(IF($I119="",$J119,$I119)*IF($L119="",$M119,$L119),2),0)))</f>
        <v>0</v>
      </c>
      <c r="W119" s="46" t="n">
        <f aca="false">IF($T119&lt;&gt;"TAK",0,IF($O119="NIEPOLICZONE",0,IFERROR(ROUND($J119*$M119,2),0)))</f>
        <v>0</v>
      </c>
      <c r="X119" s="35" t="n">
        <f aca="false">IF($T119&lt;&gt;"TAK",0,IF($O119="NIEPOLICZONE",0,IFERROR(ROUND(IF($K119="",$J119,$K119)*IF($N119="",$M119,$N119),2),0)))</f>
        <v>0</v>
      </c>
    </row>
    <row r="120" customFormat="false" ht="18" hidden="false" customHeight="true" outlineLevel="0" collapsed="false">
      <c r="A120" s="25" t="s">
        <v>586</v>
      </c>
      <c r="B120" s="33"/>
      <c r="C120" s="33"/>
      <c r="D120" s="33"/>
      <c r="E120" s="33"/>
      <c r="F120" s="33"/>
      <c r="G120" s="33"/>
      <c r="H120" s="33"/>
      <c r="I120" s="30"/>
      <c r="J120" s="30"/>
      <c r="K120" s="30"/>
      <c r="L120" s="30"/>
      <c r="M120" s="30"/>
      <c r="N120" s="30"/>
      <c r="O120" s="33"/>
      <c r="P120" s="33"/>
      <c r="Q120" s="33"/>
      <c r="R120" s="33"/>
      <c r="S120" s="33"/>
      <c r="T120" s="33"/>
      <c r="U120" s="33"/>
      <c r="V120" s="35" t="n">
        <f aca="false">IF($T120&lt;&gt;"TAK",0,IF($O120="NIEPOLICZONE",0,IFERROR(ROUND(IF($I120="",$J120,$I120)*IF($L120="",$M120,$L120),2),0)))</f>
        <v>0</v>
      </c>
      <c r="W120" s="46" t="n">
        <f aca="false">IF($T120&lt;&gt;"TAK",0,IF($O120="NIEPOLICZONE",0,IFERROR(ROUND($J120*$M120,2),0)))</f>
        <v>0</v>
      </c>
      <c r="X120" s="35" t="n">
        <f aca="false">IF($T120&lt;&gt;"TAK",0,IF($O120="NIEPOLICZONE",0,IFERROR(ROUND(IF($K120="",$J120,$K120)*IF($N120="",$M120,$N120),2),0)))</f>
        <v>0</v>
      </c>
    </row>
    <row r="121" customFormat="false" ht="18" hidden="false" customHeight="true" outlineLevel="0" collapsed="false">
      <c r="A121" s="25" t="s">
        <v>587</v>
      </c>
      <c r="B121" s="33"/>
      <c r="C121" s="33"/>
      <c r="D121" s="33"/>
      <c r="E121" s="33"/>
      <c r="F121" s="33"/>
      <c r="G121" s="33"/>
      <c r="H121" s="33"/>
      <c r="I121" s="30"/>
      <c r="J121" s="30"/>
      <c r="K121" s="30"/>
      <c r="L121" s="30"/>
      <c r="M121" s="30"/>
      <c r="N121" s="30"/>
      <c r="O121" s="33"/>
      <c r="P121" s="33"/>
      <c r="Q121" s="33"/>
      <c r="R121" s="33"/>
      <c r="S121" s="33"/>
      <c r="T121" s="33"/>
      <c r="U121" s="33"/>
      <c r="V121" s="35" t="n">
        <f aca="false">IF($T121&lt;&gt;"TAK",0,IF($O121="NIEPOLICZONE",0,IFERROR(ROUND(IF($I121="",$J121,$I121)*IF($L121="",$M121,$L121),2),0)))</f>
        <v>0</v>
      </c>
      <c r="W121" s="46" t="n">
        <f aca="false">IF($T121&lt;&gt;"TAK",0,IF($O121="NIEPOLICZONE",0,IFERROR(ROUND($J121*$M121,2),0)))</f>
        <v>0</v>
      </c>
      <c r="X121" s="35" t="n">
        <f aca="false">IF($T121&lt;&gt;"TAK",0,IF($O121="NIEPOLICZONE",0,IFERROR(ROUND(IF($K121="",$J121,$K121)*IF($N121="",$M121,$N121),2),0)))</f>
        <v>0</v>
      </c>
    </row>
    <row r="122" customFormat="false" ht="18" hidden="false" customHeight="true" outlineLevel="0" collapsed="false">
      <c r="A122" s="25" t="s">
        <v>588</v>
      </c>
      <c r="B122" s="33"/>
      <c r="C122" s="33"/>
      <c r="D122" s="33"/>
      <c r="E122" s="33"/>
      <c r="F122" s="33"/>
      <c r="G122" s="33"/>
      <c r="H122" s="33"/>
      <c r="I122" s="30"/>
      <c r="J122" s="30"/>
      <c r="K122" s="30"/>
      <c r="L122" s="30"/>
      <c r="M122" s="30"/>
      <c r="N122" s="30"/>
      <c r="O122" s="33"/>
      <c r="P122" s="33"/>
      <c r="Q122" s="33"/>
      <c r="R122" s="33"/>
      <c r="S122" s="33"/>
      <c r="T122" s="33"/>
      <c r="U122" s="33"/>
      <c r="V122" s="35" t="n">
        <f aca="false">IF($T122&lt;&gt;"TAK",0,IF($O122="NIEPOLICZONE",0,IFERROR(ROUND(IF($I122="",$J122,$I122)*IF($L122="",$M122,$L122),2),0)))</f>
        <v>0</v>
      </c>
      <c r="W122" s="46" t="n">
        <f aca="false">IF($T122&lt;&gt;"TAK",0,IF($O122="NIEPOLICZONE",0,IFERROR(ROUND($J122*$M122,2),0)))</f>
        <v>0</v>
      </c>
      <c r="X122" s="35" t="n">
        <f aca="false">IF($T122&lt;&gt;"TAK",0,IF($O122="NIEPOLICZONE",0,IFERROR(ROUND(IF($K122="",$J122,$K122)*IF($N122="",$M122,$N122),2),0)))</f>
        <v>0</v>
      </c>
    </row>
    <row r="123" customFormat="false" ht="18" hidden="false" customHeight="true" outlineLevel="0" collapsed="false">
      <c r="A123" s="25" t="s">
        <v>589</v>
      </c>
      <c r="B123" s="33"/>
      <c r="C123" s="33"/>
      <c r="D123" s="33"/>
      <c r="E123" s="33"/>
      <c r="F123" s="33"/>
      <c r="G123" s="33"/>
      <c r="H123" s="33"/>
      <c r="I123" s="30"/>
      <c r="J123" s="30"/>
      <c r="K123" s="30"/>
      <c r="L123" s="30"/>
      <c r="M123" s="30"/>
      <c r="N123" s="30"/>
      <c r="O123" s="33"/>
      <c r="P123" s="33"/>
      <c r="Q123" s="33"/>
      <c r="R123" s="33"/>
      <c r="S123" s="33"/>
      <c r="T123" s="33"/>
      <c r="U123" s="33"/>
      <c r="V123" s="35" t="n">
        <f aca="false">IF($T123&lt;&gt;"TAK",0,IF($O123="NIEPOLICZONE",0,IFERROR(ROUND(IF($I123="",$J123,$I123)*IF($L123="",$M123,$L123),2),0)))</f>
        <v>0</v>
      </c>
      <c r="W123" s="46" t="n">
        <f aca="false">IF($T123&lt;&gt;"TAK",0,IF($O123="NIEPOLICZONE",0,IFERROR(ROUND($J123*$M123,2),0)))</f>
        <v>0</v>
      </c>
      <c r="X123" s="35" t="n">
        <f aca="false">IF($T123&lt;&gt;"TAK",0,IF($O123="NIEPOLICZONE",0,IFERROR(ROUND(IF($K123="",$J123,$K123)*IF($N123="",$M123,$N123),2),0)))</f>
        <v>0</v>
      </c>
    </row>
    <row r="124" customFormat="false" ht="18" hidden="false" customHeight="true" outlineLevel="0" collapsed="false">
      <c r="A124" s="25" t="s">
        <v>590</v>
      </c>
      <c r="B124" s="33"/>
      <c r="C124" s="33"/>
      <c r="D124" s="33"/>
      <c r="E124" s="33"/>
      <c r="F124" s="33"/>
      <c r="G124" s="33"/>
      <c r="H124" s="33"/>
      <c r="I124" s="30"/>
      <c r="J124" s="30"/>
      <c r="K124" s="30"/>
      <c r="L124" s="30"/>
      <c r="M124" s="30"/>
      <c r="N124" s="30"/>
      <c r="O124" s="33"/>
      <c r="P124" s="33"/>
      <c r="Q124" s="33"/>
      <c r="R124" s="33"/>
      <c r="S124" s="33"/>
      <c r="T124" s="33"/>
      <c r="U124" s="33"/>
      <c r="V124" s="35" t="n">
        <f aca="false">IF($T124&lt;&gt;"TAK",0,IF($O124="NIEPOLICZONE",0,IFERROR(ROUND(IF($I124="",$J124,$I124)*IF($L124="",$M124,$L124),2),0)))</f>
        <v>0</v>
      </c>
      <c r="W124" s="46" t="n">
        <f aca="false">IF($T124&lt;&gt;"TAK",0,IF($O124="NIEPOLICZONE",0,IFERROR(ROUND($J124*$M124,2),0)))</f>
        <v>0</v>
      </c>
      <c r="X124" s="35" t="n">
        <f aca="false">IF($T124&lt;&gt;"TAK",0,IF($O124="NIEPOLICZONE",0,IFERROR(ROUND(IF($K124="",$J124,$K124)*IF($N124="",$M124,$N124),2),0)))</f>
        <v>0</v>
      </c>
    </row>
    <row r="125" customFormat="false" ht="18" hidden="false" customHeight="true" outlineLevel="0" collapsed="false">
      <c r="A125" s="25" t="s">
        <v>591</v>
      </c>
      <c r="B125" s="33"/>
      <c r="C125" s="33"/>
      <c r="D125" s="33"/>
      <c r="E125" s="33"/>
      <c r="F125" s="33"/>
      <c r="G125" s="33"/>
      <c r="H125" s="33"/>
      <c r="I125" s="30"/>
      <c r="J125" s="30"/>
      <c r="K125" s="30"/>
      <c r="L125" s="30"/>
      <c r="M125" s="30"/>
      <c r="N125" s="30"/>
      <c r="O125" s="33"/>
      <c r="P125" s="33"/>
      <c r="Q125" s="33"/>
      <c r="R125" s="33"/>
      <c r="S125" s="33"/>
      <c r="T125" s="33"/>
      <c r="U125" s="33"/>
      <c r="V125" s="35" t="n">
        <f aca="false">IF($T125&lt;&gt;"TAK",0,IF($O125="NIEPOLICZONE",0,IFERROR(ROUND(IF($I125="",$J125,$I125)*IF($L125="",$M125,$L125),2),0)))</f>
        <v>0</v>
      </c>
      <c r="W125" s="46" t="n">
        <f aca="false">IF($T125&lt;&gt;"TAK",0,IF($O125="NIEPOLICZONE",0,IFERROR(ROUND($J125*$M125,2),0)))</f>
        <v>0</v>
      </c>
      <c r="X125" s="35" t="n">
        <f aca="false">IF($T125&lt;&gt;"TAK",0,IF($O125="NIEPOLICZONE",0,IFERROR(ROUND(IF($K125="",$J125,$K125)*IF($N125="",$M125,$N125),2),0)))</f>
        <v>0</v>
      </c>
    </row>
    <row r="126" customFormat="false" ht="18" hidden="false" customHeight="true" outlineLevel="0" collapsed="false">
      <c r="A126" s="25" t="s">
        <v>592</v>
      </c>
      <c r="B126" s="33"/>
      <c r="C126" s="33"/>
      <c r="D126" s="33"/>
      <c r="E126" s="33"/>
      <c r="F126" s="33"/>
      <c r="G126" s="33"/>
      <c r="H126" s="33"/>
      <c r="I126" s="30"/>
      <c r="J126" s="30"/>
      <c r="K126" s="30"/>
      <c r="L126" s="30"/>
      <c r="M126" s="30"/>
      <c r="N126" s="30"/>
      <c r="O126" s="33"/>
      <c r="P126" s="33"/>
      <c r="Q126" s="33"/>
      <c r="R126" s="33"/>
      <c r="S126" s="33"/>
      <c r="T126" s="33"/>
      <c r="U126" s="33"/>
      <c r="V126" s="35" t="n">
        <f aca="false">IF($T126&lt;&gt;"TAK",0,IF($O126="NIEPOLICZONE",0,IFERROR(ROUND(IF($I126="",$J126,$I126)*IF($L126="",$M126,$L126),2),0)))</f>
        <v>0</v>
      </c>
      <c r="W126" s="46" t="n">
        <f aca="false">IF($T126&lt;&gt;"TAK",0,IF($O126="NIEPOLICZONE",0,IFERROR(ROUND($J126*$M126,2),0)))</f>
        <v>0</v>
      </c>
      <c r="X126" s="35" t="n">
        <f aca="false">IF($T126&lt;&gt;"TAK",0,IF($O126="NIEPOLICZONE",0,IFERROR(ROUND(IF($K126="",$J126,$K126)*IF($N126="",$M126,$N126),2),0)))</f>
        <v>0</v>
      </c>
    </row>
  </sheetData>
  <mergeCells count="3">
    <mergeCell ref="A2:H2"/>
    <mergeCell ref="A3:H3"/>
    <mergeCell ref="A4:H4"/>
  </mergeCells>
  <dataValidations count="10">
    <dataValidation allowBlank="true" error="Wybierz wartość z listy." errorStyle="stop" errorTitle="Wartość spoza listy" operator="between" showDropDown="false" showErrorMessage="false" showInputMessage="false" sqref="B7:B126" type="list">
      <formula1>'LISTY POMOCNICZE'!$L$8:$L$15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C7:C126" type="list">
      <formula1>'LISTY POMOCNICZE'!$M$8:$M$20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D7:D126" type="list">
      <formula1>'LISTY POMOCNICZE'!$K$8:$K$19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F7:F126" type="list">
      <formula1>'LISTY POMOCNICZE'!$F$8:$F$12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G7:G126" type="list">
      <formula1>'LISTY POMOCNICZE'!$S$8:$S$14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O7:O126" type="list">
      <formula1>'LISTY POMOCNICZE'!$G$8:$G$13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Q7:Q126" type="list">
      <formula1>'LISTY POMOCNICZE'!$H$8:$H$10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S7:S126" type="list">
      <formula1>'LISTY POMOCNICZE'!$N$8:$N$9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T7:T126" type="list">
      <formula1>'LISTY POMOCNICZE'!$I$8:$I$9</formula1>
      <formula2>0</formula2>
    </dataValidation>
    <dataValidation allowBlank="true" error="Podaj liczbę nie mniejszą niż 0." errorStyle="stop" errorTitle="Wartość nieprawidłowa" operator="greaterThanOrEqual" showDropDown="false" showErrorMessage="false" showInputMessage="false" sqref="I7:N126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false"/>
  </sheetPr>
  <dimension ref="A1:W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3"/>
    <col collapsed="false" customWidth="true" hidden="false" outlineLevel="0" max="5" min="3" style="0" width="15"/>
    <col collapsed="false" customWidth="true" hidden="false" outlineLevel="0" max="8" min="6" style="0" width="17"/>
    <col collapsed="false" customWidth="true" hidden="false" outlineLevel="0" max="9" min="9" style="0" width="12"/>
    <col collapsed="false" customWidth="true" hidden="false" outlineLevel="0" max="10" min="10" style="0" width="17"/>
    <col collapsed="false" customWidth="true" hidden="false" outlineLevel="0" max="12" min="11" style="0" width="15"/>
    <col collapsed="false" customWidth="true" hidden="false" outlineLevel="0" max="13" min="13" style="0" width="20"/>
    <col collapsed="false" customWidth="true" hidden="false" outlineLevel="0" max="14" min="14" style="0" width="18"/>
    <col collapsed="false" customWidth="true" hidden="false" outlineLevel="0" max="17" min="15" style="0" width="14"/>
    <col collapsed="false" customWidth="true" hidden="false" outlineLevel="0" max="23" min="18" style="0" width="13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593</v>
      </c>
      <c r="B2" s="22"/>
      <c r="C2" s="22"/>
      <c r="D2" s="22"/>
      <c r="E2" s="22"/>
      <c r="F2" s="22"/>
      <c r="G2" s="22"/>
      <c r="H2" s="22"/>
    </row>
    <row r="3" customFormat="false" ht="43.5" hidden="false" customHeight="true" outlineLevel="0" collapsed="false">
      <c r="A3" s="23" t="s">
        <v>594</v>
      </c>
      <c r="B3" s="23"/>
      <c r="C3" s="23"/>
      <c r="D3" s="23"/>
      <c r="E3" s="23"/>
      <c r="F3" s="23"/>
      <c r="G3" s="23"/>
      <c r="H3" s="23"/>
    </row>
    <row r="6" customFormat="false" ht="19.5" hidden="false" customHeight="true" outlineLevel="0" collapsed="false">
      <c r="A6" s="4" t="s">
        <v>595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customFormat="false" ht="42" hidden="false" customHeight="true" outlineLevel="0" collapsed="false">
      <c r="A7" s="24" t="s">
        <v>319</v>
      </c>
      <c r="B7" s="24" t="s">
        <v>596</v>
      </c>
      <c r="C7" s="24" t="s">
        <v>597</v>
      </c>
      <c r="D7" s="24" t="s">
        <v>598</v>
      </c>
      <c r="E7" s="24" t="s">
        <v>599</v>
      </c>
      <c r="F7" s="24" t="s">
        <v>600</v>
      </c>
      <c r="G7" s="24" t="s">
        <v>601</v>
      </c>
      <c r="H7" s="24" t="s">
        <v>602</v>
      </c>
      <c r="I7" s="24" t="s">
        <v>603</v>
      </c>
      <c r="J7" s="24" t="s">
        <v>604</v>
      </c>
      <c r="K7" s="24" t="s">
        <v>605</v>
      </c>
      <c r="L7" s="24" t="s">
        <v>606</v>
      </c>
      <c r="M7" s="24" t="s">
        <v>607</v>
      </c>
      <c r="N7" s="24" t="s">
        <v>608</v>
      </c>
      <c r="O7" s="24" t="s">
        <v>609</v>
      </c>
      <c r="P7" s="24" t="s">
        <v>610</v>
      </c>
      <c r="Q7" s="24" t="s">
        <v>611</v>
      </c>
      <c r="R7" s="24" t="s">
        <v>612</v>
      </c>
      <c r="S7" s="24" t="s">
        <v>613</v>
      </c>
      <c r="T7" s="24" t="s">
        <v>614</v>
      </c>
      <c r="U7" s="24" t="s">
        <v>615</v>
      </c>
      <c r="V7" s="24" t="s">
        <v>616</v>
      </c>
      <c r="W7" s="24" t="s">
        <v>617</v>
      </c>
    </row>
    <row r="8" customFormat="false" ht="19.5" hidden="false" customHeight="true" outlineLevel="0" collapsed="false">
      <c r="A8" s="48" t="s">
        <v>304</v>
      </c>
      <c r="B8" s="30"/>
      <c r="C8" s="30"/>
      <c r="D8" s="30"/>
      <c r="E8" s="30"/>
      <c r="F8" s="28"/>
      <c r="G8" s="28"/>
      <c r="H8" s="28"/>
      <c r="I8" s="30"/>
      <c r="J8" s="32"/>
      <c r="K8" s="30"/>
      <c r="L8" s="32"/>
      <c r="M8" s="33"/>
      <c r="N8" s="33"/>
      <c r="O8" s="35" t="n">
        <f aca="false">IFERROR(ROUND((IF($F8="",$G8,$F8)*$I8/60+IF($K8="",0,$K8))*IF($J8="",IF('PROFIL FIRMY'!$D$18="",0,'PROFIL FIRMY'!$D$18),$J8),2),0)</f>
        <v>0</v>
      </c>
      <c r="P8" s="35" t="n">
        <f aca="false">IFERROR(ROUND((IF($G8="",$G8,$G8)*$I8/60+IF($K8="",0,$K8))*IF($J8="",IF('PROFIL FIRMY'!$D$18="",0,'PROFIL FIRMY'!$D$18),$J8),2),0)</f>
        <v>0</v>
      </c>
      <c r="Q8" s="35" t="n">
        <f aca="false">IFERROR(ROUND((IF($H8="",$G8,$H8)*$I8/60+IF($K8="",0,$K8))*IF($J8="",IF('PROFIL FIRMY'!$D$18="",0,'PROFIL FIRMY'!$D$18),$J8),2),0)</f>
        <v>0</v>
      </c>
      <c r="R8" s="35" t="n">
        <f aca="false">IF($N8="ZDOLNOŚĆ",O8,0)</f>
        <v>0</v>
      </c>
      <c r="S8" s="35" t="n">
        <f aca="false">IF($N8="ZDOLNOŚĆ",P8,0)</f>
        <v>0</v>
      </c>
      <c r="T8" s="35" t="n">
        <f aca="false">IF($N8="ZDOLNOŚĆ",Q8,0)</f>
        <v>0</v>
      </c>
      <c r="U8" s="35" t="n">
        <f aca="false">ROUND(IF($N8="GOTÓWKA",O8,0)+IF($L8="",0,$L8),2)</f>
        <v>0</v>
      </c>
      <c r="V8" s="35" t="n">
        <f aca="false">ROUND(IF($N8="GOTÓWKA",P8,0)+IF($L8="",0,$L8),2)</f>
        <v>0</v>
      </c>
      <c r="W8" s="35" t="n">
        <f aca="false">ROUND(IF($N8="GOTÓWKA",Q8,0)+IF($L8="",0,$L8),2)</f>
        <v>0</v>
      </c>
    </row>
    <row r="9" customFormat="false" ht="19.5" hidden="false" customHeight="true" outlineLevel="0" collapsed="false">
      <c r="A9" s="48" t="s">
        <v>305</v>
      </c>
      <c r="B9" s="30"/>
      <c r="C9" s="30"/>
      <c r="D9" s="30"/>
      <c r="E9" s="30"/>
      <c r="F9" s="28"/>
      <c r="G9" s="28"/>
      <c r="H9" s="28"/>
      <c r="I9" s="30"/>
      <c r="J9" s="32"/>
      <c r="K9" s="30"/>
      <c r="L9" s="32"/>
      <c r="M9" s="33"/>
      <c r="N9" s="33"/>
      <c r="O9" s="35" t="n">
        <f aca="false">IFERROR(ROUND((IF($F9="",$G9,$F9)*$I9/60+IF($K9="",0,$K9))*IF($J9="",IF('PROFIL FIRMY'!$D$18="",0,'PROFIL FIRMY'!$D$18),$J9),2),0)</f>
        <v>0</v>
      </c>
      <c r="P9" s="35" t="n">
        <f aca="false">IFERROR(ROUND((IF($G9="",$G9,$G9)*$I9/60+IF($K9="",0,$K9))*IF($J9="",IF('PROFIL FIRMY'!$D$18="",0,'PROFIL FIRMY'!$D$18),$J9),2),0)</f>
        <v>0</v>
      </c>
      <c r="Q9" s="35" t="n">
        <f aca="false">IFERROR(ROUND((IF($H9="",$G9,$H9)*$I9/60+IF($K9="",0,$K9))*IF($J9="",IF('PROFIL FIRMY'!$D$18="",0,'PROFIL FIRMY'!$D$18),$J9),2),0)</f>
        <v>0</v>
      </c>
      <c r="R9" s="35" t="n">
        <f aca="false">IF($N9="ZDOLNOŚĆ",O9,0)</f>
        <v>0</v>
      </c>
      <c r="S9" s="35" t="n">
        <f aca="false">IF($N9="ZDOLNOŚĆ",P9,0)</f>
        <v>0</v>
      </c>
      <c r="T9" s="35" t="n">
        <f aca="false">IF($N9="ZDOLNOŚĆ",Q9,0)</f>
        <v>0</v>
      </c>
      <c r="U9" s="35" t="n">
        <f aca="false">ROUND(IF($N9="GOTÓWKA",O9,0)+IF($L9="",0,$L9),2)</f>
        <v>0</v>
      </c>
      <c r="V9" s="35" t="n">
        <f aca="false">ROUND(IF($N9="GOTÓWKA",P9,0)+IF($L9="",0,$L9),2)</f>
        <v>0</v>
      </c>
      <c r="W9" s="35" t="n">
        <f aca="false">ROUND(IF($N9="GOTÓWKA",Q9,0)+IF($L9="",0,$L9),2)</f>
        <v>0</v>
      </c>
    </row>
    <row r="10" customFormat="false" ht="19.5" hidden="false" customHeight="true" outlineLevel="0" collapsed="false">
      <c r="A10" s="48" t="s">
        <v>306</v>
      </c>
      <c r="B10" s="30"/>
      <c r="C10" s="30"/>
      <c r="D10" s="30"/>
      <c r="E10" s="30"/>
      <c r="F10" s="28"/>
      <c r="G10" s="28"/>
      <c r="H10" s="28"/>
      <c r="I10" s="30"/>
      <c r="J10" s="32"/>
      <c r="K10" s="30"/>
      <c r="L10" s="32"/>
      <c r="M10" s="33"/>
      <c r="N10" s="33"/>
      <c r="O10" s="35" t="n">
        <f aca="false">IFERROR(ROUND((IF($F10="",$G10,$F10)*$I10/60+IF($K10="",0,$K10))*IF($J10="",IF('PROFIL FIRMY'!$D$18="",0,'PROFIL FIRMY'!$D$18),$J10),2),0)</f>
        <v>0</v>
      </c>
      <c r="P10" s="35" t="n">
        <f aca="false">IFERROR(ROUND((IF($G10="",$G10,$G10)*$I10/60+IF($K10="",0,$K10))*IF($J10="",IF('PROFIL FIRMY'!$D$18="",0,'PROFIL FIRMY'!$D$18),$J10),2),0)</f>
        <v>0</v>
      </c>
      <c r="Q10" s="35" t="n">
        <f aca="false">IFERROR(ROUND((IF($H10="",$G10,$H10)*$I10/60+IF($K10="",0,$K10))*IF($J10="",IF('PROFIL FIRMY'!$D$18="",0,'PROFIL FIRMY'!$D$18),$J10),2),0)</f>
        <v>0</v>
      </c>
      <c r="R10" s="35" t="n">
        <f aca="false">IF($N10="ZDOLNOŚĆ",O10,0)</f>
        <v>0</v>
      </c>
      <c r="S10" s="35" t="n">
        <f aca="false">IF($N10="ZDOLNOŚĆ",P10,0)</f>
        <v>0</v>
      </c>
      <c r="T10" s="35" t="n">
        <f aca="false">IF($N10="ZDOLNOŚĆ",Q10,0)</f>
        <v>0</v>
      </c>
      <c r="U10" s="35" t="n">
        <f aca="false">ROUND(IF($N10="GOTÓWKA",O10,0)+IF($L10="",0,$L10),2)</f>
        <v>0</v>
      </c>
      <c r="V10" s="35" t="n">
        <f aca="false">ROUND(IF($N10="GOTÓWKA",P10,0)+IF($L10="",0,$L10),2)</f>
        <v>0</v>
      </c>
      <c r="W10" s="35" t="n">
        <f aca="false">ROUND(IF($N10="GOTÓWKA",Q10,0)+IF($L10="",0,$L10),2)</f>
        <v>0</v>
      </c>
    </row>
    <row r="11" customFormat="false" ht="19.5" hidden="false" customHeight="true" outlineLevel="0" collapsed="false">
      <c r="A11" s="48" t="s">
        <v>307</v>
      </c>
      <c r="B11" s="30"/>
      <c r="C11" s="30"/>
      <c r="D11" s="30"/>
      <c r="E11" s="30"/>
      <c r="F11" s="28"/>
      <c r="G11" s="28"/>
      <c r="H11" s="28"/>
      <c r="I11" s="30"/>
      <c r="J11" s="32"/>
      <c r="K11" s="30"/>
      <c r="L11" s="32"/>
      <c r="M11" s="33"/>
      <c r="N11" s="33"/>
      <c r="O11" s="35" t="n">
        <f aca="false">IFERROR(ROUND((IF($F11="",$G11,$F11)*$I11/60+IF($K11="",0,$K11))*IF($J11="",IF('PROFIL FIRMY'!$D$18="",0,'PROFIL FIRMY'!$D$18),$J11),2),0)</f>
        <v>0</v>
      </c>
      <c r="P11" s="35" t="n">
        <f aca="false">IFERROR(ROUND((IF($G11="",$G11,$G11)*$I11/60+IF($K11="",0,$K11))*IF($J11="",IF('PROFIL FIRMY'!$D$18="",0,'PROFIL FIRMY'!$D$18),$J11),2),0)</f>
        <v>0</v>
      </c>
      <c r="Q11" s="35" t="n">
        <f aca="false">IFERROR(ROUND((IF($H11="",$G11,$H11)*$I11/60+IF($K11="",0,$K11))*IF($J11="",IF('PROFIL FIRMY'!$D$18="",0,'PROFIL FIRMY'!$D$18),$J11),2),0)</f>
        <v>0</v>
      </c>
      <c r="R11" s="35" t="n">
        <f aca="false">IF($N11="ZDOLNOŚĆ",O11,0)</f>
        <v>0</v>
      </c>
      <c r="S11" s="35" t="n">
        <f aca="false">IF($N11="ZDOLNOŚĆ",P11,0)</f>
        <v>0</v>
      </c>
      <c r="T11" s="35" t="n">
        <f aca="false">IF($N11="ZDOLNOŚĆ",Q11,0)</f>
        <v>0</v>
      </c>
      <c r="U11" s="35" t="n">
        <f aca="false">ROUND(IF($N11="GOTÓWKA",O11,0)+IF($L11="",0,$L11),2)</f>
        <v>0</v>
      </c>
      <c r="V11" s="35" t="n">
        <f aca="false">ROUND(IF($N11="GOTÓWKA",P11,0)+IF($L11="",0,$L11),2)</f>
        <v>0</v>
      </c>
      <c r="W11" s="35" t="n">
        <f aca="false">ROUND(IF($N11="GOTÓWKA",Q11,0)+IF($L11="",0,$L11),2)</f>
        <v>0</v>
      </c>
    </row>
    <row r="12" customFormat="false" ht="19.5" hidden="false" customHeight="true" outlineLevel="0" collapsed="false">
      <c r="A12" s="48" t="s">
        <v>308</v>
      </c>
      <c r="B12" s="30"/>
      <c r="C12" s="30"/>
      <c r="D12" s="30"/>
      <c r="E12" s="30"/>
      <c r="F12" s="28"/>
      <c r="G12" s="28"/>
      <c r="H12" s="28"/>
      <c r="I12" s="30"/>
      <c r="J12" s="32"/>
      <c r="K12" s="30"/>
      <c r="L12" s="32"/>
      <c r="M12" s="33"/>
      <c r="N12" s="33"/>
      <c r="O12" s="35" t="n">
        <f aca="false">IFERROR(ROUND((IF($F12="",$G12,$F12)*$I12/60+IF($K12="",0,$K12))*IF($J12="",IF('PROFIL FIRMY'!$D$18="",0,'PROFIL FIRMY'!$D$18),$J12),2),0)</f>
        <v>0</v>
      </c>
      <c r="P12" s="35" t="n">
        <f aca="false">IFERROR(ROUND((IF($G12="",$G12,$G12)*$I12/60+IF($K12="",0,$K12))*IF($J12="",IF('PROFIL FIRMY'!$D$18="",0,'PROFIL FIRMY'!$D$18),$J12),2),0)</f>
        <v>0</v>
      </c>
      <c r="Q12" s="35" t="n">
        <f aca="false">IFERROR(ROUND((IF($H12="",$G12,$H12)*$I12/60+IF($K12="",0,$K12))*IF($J12="",IF('PROFIL FIRMY'!$D$18="",0,'PROFIL FIRMY'!$D$18),$J12),2),0)</f>
        <v>0</v>
      </c>
      <c r="R12" s="35" t="n">
        <f aca="false">IF($N12="ZDOLNOŚĆ",O12,0)</f>
        <v>0</v>
      </c>
      <c r="S12" s="35" t="n">
        <f aca="false">IF($N12="ZDOLNOŚĆ",P12,0)</f>
        <v>0</v>
      </c>
      <c r="T12" s="35" t="n">
        <f aca="false">IF($N12="ZDOLNOŚĆ",Q12,0)</f>
        <v>0</v>
      </c>
      <c r="U12" s="35" t="n">
        <f aca="false">ROUND(IF($N12="GOTÓWKA",O12,0)+IF($L12="",0,$L12),2)</f>
        <v>0</v>
      </c>
      <c r="V12" s="35" t="n">
        <f aca="false">ROUND(IF($N12="GOTÓWKA",P12,0)+IF($L12="",0,$L12),2)</f>
        <v>0</v>
      </c>
      <c r="W12" s="35" t="n">
        <f aca="false">ROUND(IF($N12="GOTÓWKA",Q12,0)+IF($L12="",0,$L12),2)</f>
        <v>0</v>
      </c>
    </row>
    <row r="13" customFormat="false" ht="19.5" hidden="false" customHeight="true" outlineLevel="0" collapsed="false">
      <c r="A13" s="48" t="s">
        <v>309</v>
      </c>
      <c r="B13" s="30"/>
      <c r="C13" s="30"/>
      <c r="D13" s="30"/>
      <c r="E13" s="30"/>
      <c r="F13" s="28"/>
      <c r="G13" s="28"/>
      <c r="H13" s="28"/>
      <c r="I13" s="30"/>
      <c r="J13" s="32"/>
      <c r="K13" s="30"/>
      <c r="L13" s="32"/>
      <c r="M13" s="33"/>
      <c r="N13" s="33"/>
      <c r="O13" s="35" t="n">
        <f aca="false">IFERROR(ROUND((IF($F13="",$G13,$F13)*$I13/60+IF($K13="",0,$K13))*IF($J13="",IF('PROFIL FIRMY'!$D$18="",0,'PROFIL FIRMY'!$D$18),$J13),2),0)</f>
        <v>0</v>
      </c>
      <c r="P13" s="35" t="n">
        <f aca="false">IFERROR(ROUND((IF($G13="",$G13,$G13)*$I13/60+IF($K13="",0,$K13))*IF($J13="",IF('PROFIL FIRMY'!$D$18="",0,'PROFIL FIRMY'!$D$18),$J13),2),0)</f>
        <v>0</v>
      </c>
      <c r="Q13" s="35" t="n">
        <f aca="false">IFERROR(ROUND((IF($H13="",$G13,$H13)*$I13/60+IF($K13="",0,$K13))*IF($J13="",IF('PROFIL FIRMY'!$D$18="",0,'PROFIL FIRMY'!$D$18),$J13),2),0)</f>
        <v>0</v>
      </c>
      <c r="R13" s="35" t="n">
        <f aca="false">IF($N13="ZDOLNOŚĆ",O13,0)</f>
        <v>0</v>
      </c>
      <c r="S13" s="35" t="n">
        <f aca="false">IF($N13="ZDOLNOŚĆ",P13,0)</f>
        <v>0</v>
      </c>
      <c r="T13" s="35" t="n">
        <f aca="false">IF($N13="ZDOLNOŚĆ",Q13,0)</f>
        <v>0</v>
      </c>
      <c r="U13" s="35" t="n">
        <f aca="false">ROUND(IF($N13="GOTÓWKA",O13,0)+IF($L13="",0,$L13),2)</f>
        <v>0</v>
      </c>
      <c r="V13" s="35" t="n">
        <f aca="false">ROUND(IF($N13="GOTÓWKA",P13,0)+IF($L13="",0,$L13),2)</f>
        <v>0</v>
      </c>
      <c r="W13" s="35" t="n">
        <f aca="false">ROUND(IF($N13="GOTÓWKA",Q13,0)+IF($L13="",0,$L13),2)</f>
        <v>0</v>
      </c>
    </row>
    <row r="14" customFormat="false" ht="19.5" hidden="false" customHeight="true" outlineLevel="0" collapsed="false">
      <c r="A14" s="48" t="s">
        <v>310</v>
      </c>
      <c r="B14" s="30"/>
      <c r="C14" s="30"/>
      <c r="D14" s="30"/>
      <c r="E14" s="30"/>
      <c r="F14" s="28"/>
      <c r="G14" s="28"/>
      <c r="H14" s="28"/>
      <c r="I14" s="30"/>
      <c r="J14" s="32"/>
      <c r="K14" s="30"/>
      <c r="L14" s="32"/>
      <c r="M14" s="33"/>
      <c r="N14" s="33"/>
      <c r="O14" s="35" t="n">
        <f aca="false">IFERROR(ROUND((IF($F14="",$G14,$F14)*$I14/60+IF($K14="",0,$K14))*IF($J14="",IF('PROFIL FIRMY'!$D$18="",0,'PROFIL FIRMY'!$D$18),$J14),2),0)</f>
        <v>0</v>
      </c>
      <c r="P14" s="35" t="n">
        <f aca="false">IFERROR(ROUND((IF($G14="",$G14,$G14)*$I14/60+IF($K14="",0,$K14))*IF($J14="",IF('PROFIL FIRMY'!$D$18="",0,'PROFIL FIRMY'!$D$18),$J14),2),0)</f>
        <v>0</v>
      </c>
      <c r="Q14" s="35" t="n">
        <f aca="false">IFERROR(ROUND((IF($H14="",$G14,$H14)*$I14/60+IF($K14="",0,$K14))*IF($J14="",IF('PROFIL FIRMY'!$D$18="",0,'PROFIL FIRMY'!$D$18),$J14),2),0)</f>
        <v>0</v>
      </c>
      <c r="R14" s="35" t="n">
        <f aca="false">IF($N14="ZDOLNOŚĆ",O14,0)</f>
        <v>0</v>
      </c>
      <c r="S14" s="35" t="n">
        <f aca="false">IF($N14="ZDOLNOŚĆ",P14,0)</f>
        <v>0</v>
      </c>
      <c r="T14" s="35" t="n">
        <f aca="false">IF($N14="ZDOLNOŚĆ",Q14,0)</f>
        <v>0</v>
      </c>
      <c r="U14" s="35" t="n">
        <f aca="false">ROUND(IF($N14="GOTÓWKA",O14,0)+IF($L14="",0,$L14),2)</f>
        <v>0</v>
      </c>
      <c r="V14" s="35" t="n">
        <f aca="false">ROUND(IF($N14="GOTÓWKA",P14,0)+IF($L14="",0,$L14),2)</f>
        <v>0</v>
      </c>
      <c r="W14" s="35" t="n">
        <f aca="false">ROUND(IF($N14="GOTÓWKA",Q14,0)+IF($L14="",0,$L14),2)</f>
        <v>0</v>
      </c>
    </row>
    <row r="15" customFormat="false" ht="19.5" hidden="false" customHeight="true" outlineLevel="0" collapsed="false">
      <c r="A15" s="48" t="s">
        <v>311</v>
      </c>
      <c r="B15" s="30"/>
      <c r="C15" s="30"/>
      <c r="D15" s="30"/>
      <c r="E15" s="30"/>
      <c r="F15" s="28"/>
      <c r="G15" s="28"/>
      <c r="H15" s="28"/>
      <c r="I15" s="30"/>
      <c r="J15" s="32"/>
      <c r="K15" s="30"/>
      <c r="L15" s="32"/>
      <c r="M15" s="33"/>
      <c r="N15" s="33"/>
      <c r="O15" s="35" t="n">
        <f aca="false">IFERROR(ROUND((IF($F15="",$G15,$F15)*$I15/60+IF($K15="",0,$K15))*IF($J15="",IF('PROFIL FIRMY'!$D$18="",0,'PROFIL FIRMY'!$D$18),$J15),2),0)</f>
        <v>0</v>
      </c>
      <c r="P15" s="35" t="n">
        <f aca="false">IFERROR(ROUND((IF($G15="",$G15,$G15)*$I15/60+IF($K15="",0,$K15))*IF($J15="",IF('PROFIL FIRMY'!$D$18="",0,'PROFIL FIRMY'!$D$18),$J15),2),0)</f>
        <v>0</v>
      </c>
      <c r="Q15" s="35" t="n">
        <f aca="false">IFERROR(ROUND((IF($H15="",$G15,$H15)*$I15/60+IF($K15="",0,$K15))*IF($J15="",IF('PROFIL FIRMY'!$D$18="",0,'PROFIL FIRMY'!$D$18),$J15),2),0)</f>
        <v>0</v>
      </c>
      <c r="R15" s="35" t="n">
        <f aca="false">IF($N15="ZDOLNOŚĆ",O15,0)</f>
        <v>0</v>
      </c>
      <c r="S15" s="35" t="n">
        <f aca="false">IF($N15="ZDOLNOŚĆ",P15,0)</f>
        <v>0</v>
      </c>
      <c r="T15" s="35" t="n">
        <f aca="false">IF($N15="ZDOLNOŚĆ",Q15,0)</f>
        <v>0</v>
      </c>
      <c r="U15" s="35" t="n">
        <f aca="false">ROUND(IF($N15="GOTÓWKA",O15,0)+IF($L15="",0,$L15),2)</f>
        <v>0</v>
      </c>
      <c r="V15" s="35" t="n">
        <f aca="false">ROUND(IF($N15="GOTÓWKA",P15,0)+IF($L15="",0,$L15),2)</f>
        <v>0</v>
      </c>
      <c r="W15" s="35" t="n">
        <f aca="false">ROUND(IF($N15="GOTÓWKA",Q15,0)+IF($L15="",0,$L15),2)</f>
        <v>0</v>
      </c>
    </row>
    <row r="18" customFormat="false" ht="19.5" hidden="false" customHeight="true" outlineLevel="0" collapsed="false">
      <c r="A18" s="4" t="s">
        <v>618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customFormat="false" ht="16.5" hidden="false" customHeight="true" outlineLevel="0" collapsed="false">
      <c r="A19" s="47" t="s">
        <v>619</v>
      </c>
      <c r="B19" s="47"/>
      <c r="C19" s="47"/>
      <c r="D19" s="47"/>
      <c r="E19" s="47"/>
      <c r="F19" s="47"/>
      <c r="G19" s="47"/>
      <c r="H19" s="47"/>
    </row>
    <row r="20" customFormat="false" ht="16.5" hidden="false" customHeight="true" outlineLevel="0" collapsed="false">
      <c r="A20" s="47" t="s">
        <v>620</v>
      </c>
      <c r="B20" s="47"/>
      <c r="C20" s="47"/>
      <c r="D20" s="47"/>
      <c r="E20" s="47"/>
      <c r="F20" s="47"/>
      <c r="G20" s="47"/>
      <c r="H20" s="47"/>
    </row>
    <row r="21" customFormat="false" ht="16.5" hidden="false" customHeight="true" outlineLevel="0" collapsed="false">
      <c r="A21" s="47" t="s">
        <v>621</v>
      </c>
      <c r="B21" s="47"/>
      <c r="C21" s="47"/>
      <c r="D21" s="47"/>
      <c r="E21" s="47"/>
      <c r="F21" s="47"/>
      <c r="G21" s="47"/>
      <c r="H21" s="47"/>
    </row>
    <row r="22" customFormat="false" ht="16.5" hidden="false" customHeight="true" outlineLevel="0" collapsed="false">
      <c r="A22" s="47" t="s">
        <v>622</v>
      </c>
      <c r="B22" s="47"/>
      <c r="C22" s="47"/>
      <c r="D22" s="47"/>
      <c r="E22" s="47"/>
      <c r="F22" s="47"/>
      <c r="G22" s="47"/>
      <c r="H22" s="47"/>
    </row>
    <row r="23" customFormat="false" ht="16.5" hidden="false" customHeight="true" outlineLevel="0" collapsed="false">
      <c r="A23" s="47" t="s">
        <v>623</v>
      </c>
      <c r="B23" s="47"/>
      <c r="C23" s="47"/>
      <c r="D23" s="47"/>
      <c r="E23" s="47"/>
      <c r="F23" s="47"/>
      <c r="G23" s="47"/>
      <c r="H23" s="47"/>
    </row>
  </sheetData>
  <mergeCells count="7">
    <mergeCell ref="A2:H2"/>
    <mergeCell ref="A3:H3"/>
    <mergeCell ref="A19:H19"/>
    <mergeCell ref="A20:H20"/>
    <mergeCell ref="A21:H21"/>
    <mergeCell ref="A22:H22"/>
    <mergeCell ref="A23:H23"/>
  </mergeCells>
  <dataValidations count="3">
    <dataValidation allowBlank="true" error="Wybierz wartość z listy." errorStyle="stop" errorTitle="Wartość spoza listy" operator="between" showDropDown="false" showErrorMessage="false" showInputMessage="false" sqref="M8:M15" type="list">
      <formula1>'LISTY POMOCNICZE'!$O$8:$O$10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N8:N15" type="list">
      <formula1>'LISTY POMOCNICZE'!$P$8:$P$9</formula1>
      <formula2>0</formula2>
    </dataValidation>
    <dataValidation allowBlank="true" error="Podaj liczbę nie mniejszą niż 0." errorStyle="stop" errorTitle="Wartość nieprawidłowa" operator="greaterThanOrEqual" showDropDown="false" showErrorMessage="false" showInputMessage="false" sqref="B8:L15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64FF"/>
    <pageSetUpPr fitToPage="false"/>
  </sheetPr>
  <dimension ref="A1:P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8" topLeftCell="D9" activePane="bottomRight" state="frozen"/>
      <selection pane="topLeft" activeCell="A1" activeCellId="0" sqref="A1"/>
      <selection pane="topRight" activeCell="D1" activeCellId="0" sqref="D1"/>
      <selection pane="bottomLeft" activeCell="A9" activeCellId="0" sqref="A9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1"/>
    <col collapsed="false" customWidth="true" hidden="false" outlineLevel="0" max="3" min="3" style="0" width="30"/>
    <col collapsed="false" customWidth="true" hidden="false" outlineLevel="0" max="4" min="4" style="0" width="42"/>
    <col collapsed="false" customWidth="true" hidden="false" outlineLevel="0" max="5" min="5" style="0" width="13"/>
    <col collapsed="false" customWidth="true" hidden="false" outlineLevel="0" max="8" min="6" style="0" width="14"/>
    <col collapsed="false" customWidth="true" hidden="false" outlineLevel="0" max="9" min="9" style="0" width="16"/>
    <col collapsed="false" customWidth="true" hidden="false" outlineLevel="0" max="10" min="10" style="0" width="18"/>
    <col collapsed="false" customWidth="true" hidden="false" outlineLevel="0" max="11" min="11" style="0" width="32"/>
    <col collapsed="false" customWidth="true" hidden="false" outlineLevel="0" max="15" min="12" style="0" width="14"/>
    <col collapsed="false" customWidth="true" hidden="false" outlineLevel="0" max="16" min="16" style="0" width="30"/>
  </cols>
  <sheetData>
    <row r="1" customFormat="false" ht="15" hidden="false" customHeight="false" outlineLevel="0" collapsed="false">
      <c r="A1" s="21" t="s">
        <v>60</v>
      </c>
    </row>
    <row r="2" customFormat="false" ht="24" hidden="false" customHeight="true" outlineLevel="0" collapsed="false">
      <c r="A2" s="22" t="s">
        <v>624</v>
      </c>
      <c r="B2" s="22"/>
      <c r="C2" s="22"/>
      <c r="D2" s="22"/>
      <c r="E2" s="22"/>
      <c r="F2" s="22"/>
      <c r="G2" s="22"/>
      <c r="H2" s="22"/>
    </row>
    <row r="3" customFormat="false" ht="43.5" hidden="false" customHeight="true" outlineLevel="0" collapsed="false">
      <c r="A3" s="23" t="s">
        <v>625</v>
      </c>
      <c r="B3" s="23"/>
      <c r="C3" s="23"/>
      <c r="D3" s="23"/>
      <c r="E3" s="23"/>
      <c r="F3" s="23"/>
      <c r="G3" s="23"/>
      <c r="H3" s="23"/>
    </row>
    <row r="4" customFormat="false" ht="30" hidden="false" customHeight="true" outlineLevel="0" collapsed="false">
      <c r="A4" s="44" t="s">
        <v>626</v>
      </c>
      <c r="B4" s="44"/>
      <c r="C4" s="44"/>
      <c r="D4" s="44"/>
      <c r="E4" s="44"/>
      <c r="F4" s="44"/>
      <c r="G4" s="44"/>
      <c r="H4" s="44"/>
    </row>
    <row r="5" customFormat="false" ht="40.5" hidden="false" customHeight="true" outlineLevel="0" collapsed="false">
      <c r="A5" s="12" t="s">
        <v>627</v>
      </c>
      <c r="B5" s="12"/>
      <c r="C5" s="12"/>
      <c r="D5" s="12"/>
      <c r="E5" s="12"/>
      <c r="F5" s="12"/>
      <c r="G5" s="12"/>
      <c r="H5" s="12"/>
    </row>
    <row r="7" customFormat="false" ht="19.5" hidden="false" customHeight="true" outlineLevel="0" collapsed="false">
      <c r="A7" s="4" t="s">
        <v>628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customFormat="false" ht="42" hidden="false" customHeight="true" outlineLevel="0" collapsed="false">
      <c r="A8" s="24" t="s">
        <v>629</v>
      </c>
      <c r="B8" s="24" t="s">
        <v>319</v>
      </c>
      <c r="C8" s="24" t="s">
        <v>630</v>
      </c>
      <c r="D8" s="24" t="s">
        <v>631</v>
      </c>
      <c r="E8" s="24" t="s">
        <v>398</v>
      </c>
      <c r="F8" s="24" t="s">
        <v>632</v>
      </c>
      <c r="G8" s="24" t="s">
        <v>633</v>
      </c>
      <c r="H8" s="24" t="s">
        <v>634</v>
      </c>
      <c r="I8" s="24" t="s">
        <v>635</v>
      </c>
      <c r="J8" s="24" t="s">
        <v>138</v>
      </c>
      <c r="K8" s="24" t="s">
        <v>636</v>
      </c>
      <c r="L8" s="24" t="s">
        <v>637</v>
      </c>
      <c r="M8" s="24" t="s">
        <v>413</v>
      </c>
      <c r="N8" s="24" t="s">
        <v>414</v>
      </c>
      <c r="O8" s="24" t="s">
        <v>415</v>
      </c>
      <c r="P8" s="24" t="s">
        <v>412</v>
      </c>
    </row>
    <row r="9" customFormat="false" ht="18" hidden="false" customHeight="true" outlineLevel="0" collapsed="false">
      <c r="A9" s="25" t="s">
        <v>638</v>
      </c>
      <c r="B9" s="33"/>
      <c r="C9" s="33" t="s">
        <v>639</v>
      </c>
      <c r="D9" s="33" t="s">
        <v>640</v>
      </c>
      <c r="E9" s="33" t="s">
        <v>498</v>
      </c>
      <c r="F9" s="32"/>
      <c r="G9" s="32"/>
      <c r="H9" s="32"/>
      <c r="I9" s="31"/>
      <c r="J9" s="33" t="s">
        <v>198</v>
      </c>
      <c r="K9" s="33"/>
      <c r="L9" s="33" t="s">
        <v>422</v>
      </c>
      <c r="M9" s="35" t="n">
        <f aca="false">IF($L9&lt;&gt;"TAK",0,IF($J9="NIEPOLICZONE",0,IFERROR(ROUND(IF($F9="",$G9,$F9)*(IF($I9="",IF($E9="GOTÓWKA",1,0),$I9)),2),0)))</f>
        <v>0</v>
      </c>
      <c r="N9" s="46" t="n">
        <f aca="false">IF($L9&lt;&gt;"TAK",0,IF($J9="NIEPOLICZONE",0,IFERROR(ROUND(IF($G9="",$G9,$G9)*(IF($I9="",IF($E9="GOTÓWKA",1,0),$I9)),2),0)))</f>
        <v>0</v>
      </c>
      <c r="O9" s="35" t="n">
        <f aca="false">IF($L9&lt;&gt;"TAK",0,IF($J9="NIEPOLICZONE",0,IFERROR(ROUND(IF($H9="",$G9,$H9)*(IF($I9="",IF($E9="GOTÓWKA",1,0),$I9)),2),0)))</f>
        <v>0</v>
      </c>
      <c r="P9" s="33"/>
    </row>
    <row r="10" customFormat="false" ht="18" hidden="false" customHeight="true" outlineLevel="0" collapsed="false">
      <c r="A10" s="25" t="s">
        <v>641</v>
      </c>
      <c r="B10" s="33"/>
      <c r="C10" s="33" t="s">
        <v>642</v>
      </c>
      <c r="D10" s="33" t="s">
        <v>643</v>
      </c>
      <c r="E10" s="33" t="s">
        <v>419</v>
      </c>
      <c r="F10" s="32"/>
      <c r="G10" s="32"/>
      <c r="H10" s="32"/>
      <c r="I10" s="31"/>
      <c r="J10" s="33" t="s">
        <v>198</v>
      </c>
      <c r="K10" s="33"/>
      <c r="L10" s="33" t="s">
        <v>422</v>
      </c>
      <c r="M10" s="35" t="n">
        <f aca="false">IF($L10&lt;&gt;"TAK",0,IF($J10="NIEPOLICZONE",0,IFERROR(ROUND(IF($F10="",$G10,$F10)*(IF($I10="",IF($E10="GOTÓWKA",1,0),$I10)),2),0)))</f>
        <v>0</v>
      </c>
      <c r="N10" s="46" t="n">
        <f aca="false">IF($L10&lt;&gt;"TAK",0,IF($J10="NIEPOLICZONE",0,IFERROR(ROUND(IF($G10="",$G10,$G10)*(IF($I10="",IF($E10="GOTÓWKA",1,0),$I10)),2),0)))</f>
        <v>0</v>
      </c>
      <c r="O10" s="35" t="n">
        <f aca="false">IF($L10&lt;&gt;"TAK",0,IF($J10="NIEPOLICZONE",0,IFERROR(ROUND(IF($H10="",$G10,$H10)*(IF($I10="",IF($E10="GOTÓWKA",1,0),$I10)),2),0)))</f>
        <v>0</v>
      </c>
      <c r="P10" s="33"/>
    </row>
    <row r="11" customFormat="false" ht="18" hidden="false" customHeight="true" outlineLevel="0" collapsed="false">
      <c r="A11" s="25" t="s">
        <v>644</v>
      </c>
      <c r="B11" s="33"/>
      <c r="C11" s="33" t="s">
        <v>645</v>
      </c>
      <c r="D11" s="33" t="s">
        <v>646</v>
      </c>
      <c r="E11" s="33" t="s">
        <v>419</v>
      </c>
      <c r="F11" s="32"/>
      <c r="G11" s="32"/>
      <c r="H11" s="32"/>
      <c r="I11" s="31"/>
      <c r="J11" s="33" t="s">
        <v>198</v>
      </c>
      <c r="K11" s="33"/>
      <c r="L11" s="33" t="s">
        <v>422</v>
      </c>
      <c r="M11" s="35" t="n">
        <f aca="false">IF($L11&lt;&gt;"TAK",0,IF($J11="NIEPOLICZONE",0,IFERROR(ROUND(IF($F11="",$G11,$F11)*(IF($I11="",IF($E11="GOTÓWKA",1,0),$I11)),2),0)))</f>
        <v>0</v>
      </c>
      <c r="N11" s="46" t="n">
        <f aca="false">IF($L11&lt;&gt;"TAK",0,IF($J11="NIEPOLICZONE",0,IFERROR(ROUND(IF($G11="",$G11,$G11)*(IF($I11="",IF($E11="GOTÓWKA",1,0),$I11)),2),0)))</f>
        <v>0</v>
      </c>
      <c r="O11" s="35" t="n">
        <f aca="false">IF($L11&lt;&gt;"TAK",0,IF($J11="NIEPOLICZONE",0,IFERROR(ROUND(IF($H11="",$G11,$H11)*(IF($I11="",IF($E11="GOTÓWKA",1,0),$I11)),2),0)))</f>
        <v>0</v>
      </c>
      <c r="P11" s="33"/>
    </row>
    <row r="12" customFormat="false" ht="18" hidden="false" customHeight="true" outlineLevel="0" collapsed="false">
      <c r="A12" s="25" t="s">
        <v>647</v>
      </c>
      <c r="B12" s="33"/>
      <c r="C12" s="33" t="s">
        <v>648</v>
      </c>
      <c r="D12" s="33" t="s">
        <v>649</v>
      </c>
      <c r="E12" s="33" t="s">
        <v>419</v>
      </c>
      <c r="F12" s="32"/>
      <c r="G12" s="32"/>
      <c r="H12" s="32"/>
      <c r="I12" s="31"/>
      <c r="J12" s="33" t="s">
        <v>198</v>
      </c>
      <c r="K12" s="33"/>
      <c r="L12" s="33" t="s">
        <v>422</v>
      </c>
      <c r="M12" s="35" t="n">
        <f aca="false">IF($L12&lt;&gt;"TAK",0,IF($J12="NIEPOLICZONE",0,IFERROR(ROUND(IF($F12="",$G12,$F12)*(IF($I12="",IF($E12="GOTÓWKA",1,0),$I12)),2),0)))</f>
        <v>0</v>
      </c>
      <c r="N12" s="46" t="n">
        <f aca="false">IF($L12&lt;&gt;"TAK",0,IF($J12="NIEPOLICZONE",0,IFERROR(ROUND(IF($G12="",$G12,$G12)*(IF($I12="",IF($E12="GOTÓWKA",1,0),$I12)),2),0)))</f>
        <v>0</v>
      </c>
      <c r="O12" s="35" t="n">
        <f aca="false">IF($L12&lt;&gt;"TAK",0,IF($J12="NIEPOLICZONE",0,IFERROR(ROUND(IF($H12="",$G12,$H12)*(IF($I12="",IF($E12="GOTÓWKA",1,0),$I12)),2),0)))</f>
        <v>0</v>
      </c>
      <c r="P12" s="33"/>
    </row>
    <row r="13" customFormat="false" ht="18" hidden="false" customHeight="true" outlineLevel="0" collapsed="false">
      <c r="A13" s="25" t="s">
        <v>650</v>
      </c>
      <c r="B13" s="33"/>
      <c r="C13" s="33" t="s">
        <v>648</v>
      </c>
      <c r="D13" s="33" t="s">
        <v>651</v>
      </c>
      <c r="E13" s="33" t="s">
        <v>419</v>
      </c>
      <c r="F13" s="32"/>
      <c r="G13" s="32"/>
      <c r="H13" s="32"/>
      <c r="I13" s="31"/>
      <c r="J13" s="33" t="s">
        <v>198</v>
      </c>
      <c r="K13" s="33"/>
      <c r="L13" s="33" t="s">
        <v>422</v>
      </c>
      <c r="M13" s="35" t="n">
        <f aca="false">IF($L13&lt;&gt;"TAK",0,IF($J13="NIEPOLICZONE",0,IFERROR(ROUND(IF($F13="",$G13,$F13)*(IF($I13="",IF($E13="GOTÓWKA",1,0),$I13)),2),0)))</f>
        <v>0</v>
      </c>
      <c r="N13" s="46" t="n">
        <f aca="false">IF($L13&lt;&gt;"TAK",0,IF($J13="NIEPOLICZONE",0,IFERROR(ROUND(IF($G13="",$G13,$G13)*(IF($I13="",IF($E13="GOTÓWKA",1,0),$I13)),2),0)))</f>
        <v>0</v>
      </c>
      <c r="O13" s="35" t="n">
        <f aca="false">IF($L13&lt;&gt;"TAK",0,IF($J13="NIEPOLICZONE",0,IFERROR(ROUND(IF($H13="",$G13,$H13)*(IF($I13="",IF($E13="GOTÓWKA",1,0),$I13)),2),0)))</f>
        <v>0</v>
      </c>
      <c r="P13" s="33"/>
    </row>
    <row r="14" customFormat="false" ht="18" hidden="false" customHeight="true" outlineLevel="0" collapsed="false">
      <c r="A14" s="25" t="s">
        <v>652</v>
      </c>
      <c r="B14" s="33"/>
      <c r="C14" s="33" t="s">
        <v>653</v>
      </c>
      <c r="D14" s="33" t="s">
        <v>654</v>
      </c>
      <c r="E14" s="33" t="s">
        <v>419</v>
      </c>
      <c r="F14" s="32"/>
      <c r="G14" s="32"/>
      <c r="H14" s="32"/>
      <c r="I14" s="31"/>
      <c r="J14" s="33" t="s">
        <v>198</v>
      </c>
      <c r="K14" s="33"/>
      <c r="L14" s="33" t="s">
        <v>422</v>
      </c>
      <c r="M14" s="35" t="n">
        <f aca="false">IF($L14&lt;&gt;"TAK",0,IF($J14="NIEPOLICZONE",0,IFERROR(ROUND(IF($F14="",$G14,$F14)*(IF($I14="",IF($E14="GOTÓWKA",1,0),$I14)),2),0)))</f>
        <v>0</v>
      </c>
      <c r="N14" s="46" t="n">
        <f aca="false">IF($L14&lt;&gt;"TAK",0,IF($J14="NIEPOLICZONE",0,IFERROR(ROUND(IF($G14="",$G14,$G14)*(IF($I14="",IF($E14="GOTÓWKA",1,0),$I14)),2),0)))</f>
        <v>0</v>
      </c>
      <c r="O14" s="35" t="n">
        <f aca="false">IF($L14&lt;&gt;"TAK",0,IF($J14="NIEPOLICZONE",0,IFERROR(ROUND(IF($H14="",$G14,$H14)*(IF($I14="",IF($E14="GOTÓWKA",1,0),$I14)),2),0)))</f>
        <v>0</v>
      </c>
      <c r="P14" s="33"/>
    </row>
    <row r="15" customFormat="false" ht="18" hidden="false" customHeight="true" outlineLevel="0" collapsed="false">
      <c r="A15" s="25" t="s">
        <v>655</v>
      </c>
      <c r="B15" s="33"/>
      <c r="C15" s="33" t="s">
        <v>653</v>
      </c>
      <c r="D15" s="33" t="s">
        <v>656</v>
      </c>
      <c r="E15" s="33" t="s">
        <v>498</v>
      </c>
      <c r="F15" s="32"/>
      <c r="G15" s="32"/>
      <c r="H15" s="32"/>
      <c r="I15" s="31"/>
      <c r="J15" s="33" t="s">
        <v>198</v>
      </c>
      <c r="K15" s="33"/>
      <c r="L15" s="33" t="s">
        <v>422</v>
      </c>
      <c r="M15" s="35" t="n">
        <f aca="false">IF($L15&lt;&gt;"TAK",0,IF($J15="NIEPOLICZONE",0,IFERROR(ROUND(IF($F15="",$G15,$F15)*(IF($I15="",IF($E15="GOTÓWKA",1,0),$I15)),2),0)))</f>
        <v>0</v>
      </c>
      <c r="N15" s="46" t="n">
        <f aca="false">IF($L15&lt;&gt;"TAK",0,IF($J15="NIEPOLICZONE",0,IFERROR(ROUND(IF($G15="",$G15,$G15)*(IF($I15="",IF($E15="GOTÓWKA",1,0),$I15)),2),0)))</f>
        <v>0</v>
      </c>
      <c r="O15" s="35" t="n">
        <f aca="false">IF($L15&lt;&gt;"TAK",0,IF($J15="NIEPOLICZONE",0,IFERROR(ROUND(IF($H15="",$G15,$H15)*(IF($I15="",IF($E15="GOTÓWKA",1,0),$I15)),2),0)))</f>
        <v>0</v>
      </c>
      <c r="P15" s="33"/>
    </row>
    <row r="16" customFormat="false" ht="18" hidden="false" customHeight="true" outlineLevel="0" collapsed="false">
      <c r="A16" s="25" t="s">
        <v>657</v>
      </c>
      <c r="B16" s="33"/>
      <c r="C16" s="33" t="s">
        <v>658</v>
      </c>
      <c r="D16" s="33" t="s">
        <v>659</v>
      </c>
      <c r="E16" s="33" t="s">
        <v>498</v>
      </c>
      <c r="F16" s="32"/>
      <c r="G16" s="32"/>
      <c r="H16" s="32"/>
      <c r="I16" s="31"/>
      <c r="J16" s="33" t="s">
        <v>198</v>
      </c>
      <c r="K16" s="33"/>
      <c r="L16" s="33" t="s">
        <v>422</v>
      </c>
      <c r="M16" s="35" t="n">
        <f aca="false">IF($L16&lt;&gt;"TAK",0,IF($J16="NIEPOLICZONE",0,IFERROR(ROUND(IF($F16="",$G16,$F16)*(IF($I16="",IF($E16="GOTÓWKA",1,0),$I16)),2),0)))</f>
        <v>0</v>
      </c>
      <c r="N16" s="46" t="n">
        <f aca="false">IF($L16&lt;&gt;"TAK",0,IF($J16="NIEPOLICZONE",0,IFERROR(ROUND(IF($G16="",$G16,$G16)*(IF($I16="",IF($E16="GOTÓWKA",1,0),$I16)),2),0)))</f>
        <v>0</v>
      </c>
      <c r="O16" s="35" t="n">
        <f aca="false">IF($L16&lt;&gt;"TAK",0,IF($J16="NIEPOLICZONE",0,IFERROR(ROUND(IF($H16="",$G16,$H16)*(IF($I16="",IF($E16="GOTÓWKA",1,0),$I16)),2),0)))</f>
        <v>0</v>
      </c>
      <c r="P16" s="33"/>
    </row>
    <row r="17" customFormat="false" ht="18" hidden="false" customHeight="true" outlineLevel="0" collapsed="false">
      <c r="A17" s="25" t="s">
        <v>660</v>
      </c>
      <c r="B17" s="33"/>
      <c r="C17" s="33" t="s">
        <v>661</v>
      </c>
      <c r="D17" s="33" t="s">
        <v>662</v>
      </c>
      <c r="E17" s="33" t="s">
        <v>498</v>
      </c>
      <c r="F17" s="32"/>
      <c r="G17" s="32"/>
      <c r="H17" s="32"/>
      <c r="I17" s="31"/>
      <c r="J17" s="33" t="s">
        <v>198</v>
      </c>
      <c r="K17" s="33"/>
      <c r="L17" s="33" t="s">
        <v>422</v>
      </c>
      <c r="M17" s="35" t="n">
        <f aca="false">IF($L17&lt;&gt;"TAK",0,IF($J17="NIEPOLICZONE",0,IFERROR(ROUND(IF($F17="",$G17,$F17)*(IF($I17="",IF($E17="GOTÓWKA",1,0),$I17)),2),0)))</f>
        <v>0</v>
      </c>
      <c r="N17" s="46" t="n">
        <f aca="false">IF($L17&lt;&gt;"TAK",0,IF($J17="NIEPOLICZONE",0,IFERROR(ROUND(IF($G17="",$G17,$G17)*(IF($I17="",IF($E17="GOTÓWKA",1,0),$I17)),2),0)))</f>
        <v>0</v>
      </c>
      <c r="O17" s="35" t="n">
        <f aca="false">IF($L17&lt;&gt;"TAK",0,IF($J17="NIEPOLICZONE",0,IFERROR(ROUND(IF($H17="",$G17,$H17)*(IF($I17="",IF($E17="GOTÓWKA",1,0),$I17)),2),0)))</f>
        <v>0</v>
      </c>
      <c r="P17" s="33"/>
    </row>
    <row r="18" customFormat="false" ht="18" hidden="false" customHeight="true" outlineLevel="0" collapsed="false">
      <c r="A18" s="25" t="s">
        <v>663</v>
      </c>
      <c r="B18" s="33"/>
      <c r="C18" s="33" t="s">
        <v>664</v>
      </c>
      <c r="D18" s="33" t="s">
        <v>665</v>
      </c>
      <c r="E18" s="33" t="s">
        <v>498</v>
      </c>
      <c r="F18" s="32"/>
      <c r="G18" s="32"/>
      <c r="H18" s="32"/>
      <c r="I18" s="31"/>
      <c r="J18" s="33" t="s">
        <v>198</v>
      </c>
      <c r="K18" s="33"/>
      <c r="L18" s="33" t="s">
        <v>422</v>
      </c>
      <c r="M18" s="35" t="n">
        <f aca="false">IF($L18&lt;&gt;"TAK",0,IF($J18="NIEPOLICZONE",0,IFERROR(ROUND(IF($F18="",$G18,$F18)*(IF($I18="",IF($E18="GOTÓWKA",1,0),$I18)),2),0)))</f>
        <v>0</v>
      </c>
      <c r="N18" s="46" t="n">
        <f aca="false">IF($L18&lt;&gt;"TAK",0,IF($J18="NIEPOLICZONE",0,IFERROR(ROUND(IF($G18="",$G18,$G18)*(IF($I18="",IF($E18="GOTÓWKA",1,0),$I18)),2),0)))</f>
        <v>0</v>
      </c>
      <c r="O18" s="35" t="n">
        <f aca="false">IF($L18&lt;&gt;"TAK",0,IF($J18="NIEPOLICZONE",0,IFERROR(ROUND(IF($H18="",$G18,$H18)*(IF($I18="",IF($E18="GOTÓWKA",1,0),$I18)),2),0)))</f>
        <v>0</v>
      </c>
      <c r="P18" s="33"/>
    </row>
    <row r="19" customFormat="false" ht="18" hidden="false" customHeight="true" outlineLevel="0" collapsed="false">
      <c r="A19" s="25" t="s">
        <v>666</v>
      </c>
      <c r="B19" s="33"/>
      <c r="C19" s="33"/>
      <c r="D19" s="33"/>
      <c r="E19" s="33"/>
      <c r="F19" s="32"/>
      <c r="G19" s="32"/>
      <c r="H19" s="32"/>
      <c r="I19" s="31"/>
      <c r="J19" s="33"/>
      <c r="K19" s="33"/>
      <c r="L19" s="33"/>
      <c r="M19" s="35" t="n">
        <f aca="false">IF($L19&lt;&gt;"TAK",0,IF($J19="NIEPOLICZONE",0,IFERROR(ROUND(IF($F19="",$G19,$F19)*(IF($I19="",IF($E19="GOTÓWKA",1,0),$I19)),2),0)))</f>
        <v>0</v>
      </c>
      <c r="N19" s="46" t="n">
        <f aca="false">IF($L19&lt;&gt;"TAK",0,IF($J19="NIEPOLICZONE",0,IFERROR(ROUND(IF($G19="",$G19,$G19)*(IF($I19="",IF($E19="GOTÓWKA",1,0),$I19)),2),0)))</f>
        <v>0</v>
      </c>
      <c r="O19" s="35" t="n">
        <f aca="false">IF($L19&lt;&gt;"TAK",0,IF($J19="NIEPOLICZONE",0,IFERROR(ROUND(IF($H19="",$G19,$H19)*(IF($I19="",IF($E19="GOTÓWKA",1,0),$I19)),2),0)))</f>
        <v>0</v>
      </c>
      <c r="P19" s="33"/>
    </row>
    <row r="20" customFormat="false" ht="18" hidden="false" customHeight="true" outlineLevel="0" collapsed="false">
      <c r="A20" s="25" t="s">
        <v>667</v>
      </c>
      <c r="B20" s="33"/>
      <c r="C20" s="33"/>
      <c r="D20" s="33"/>
      <c r="E20" s="33"/>
      <c r="F20" s="32"/>
      <c r="G20" s="32"/>
      <c r="H20" s="32"/>
      <c r="I20" s="31"/>
      <c r="J20" s="33"/>
      <c r="K20" s="33"/>
      <c r="L20" s="33"/>
      <c r="M20" s="35" t="n">
        <f aca="false">IF($L20&lt;&gt;"TAK",0,IF($J20="NIEPOLICZONE",0,IFERROR(ROUND(IF($F20="",$G20,$F20)*(IF($I20="",IF($E20="GOTÓWKA",1,0),$I20)),2),0)))</f>
        <v>0</v>
      </c>
      <c r="N20" s="46" t="n">
        <f aca="false">IF($L20&lt;&gt;"TAK",0,IF($J20="NIEPOLICZONE",0,IFERROR(ROUND(IF($G20="",$G20,$G20)*(IF($I20="",IF($E20="GOTÓWKA",1,0),$I20)),2),0)))</f>
        <v>0</v>
      </c>
      <c r="O20" s="35" t="n">
        <f aca="false">IF($L20&lt;&gt;"TAK",0,IF($J20="NIEPOLICZONE",0,IFERROR(ROUND(IF($H20="",$G20,$H20)*(IF($I20="",IF($E20="GOTÓWKA",1,0),$I20)),2),0)))</f>
        <v>0</v>
      </c>
      <c r="P20" s="33"/>
    </row>
    <row r="21" customFormat="false" ht="18" hidden="false" customHeight="true" outlineLevel="0" collapsed="false">
      <c r="A21" s="25" t="s">
        <v>668</v>
      </c>
      <c r="B21" s="33"/>
      <c r="C21" s="33"/>
      <c r="D21" s="33"/>
      <c r="E21" s="33"/>
      <c r="F21" s="32"/>
      <c r="G21" s="32"/>
      <c r="H21" s="32"/>
      <c r="I21" s="31"/>
      <c r="J21" s="33"/>
      <c r="K21" s="33"/>
      <c r="L21" s="33"/>
      <c r="M21" s="35" t="n">
        <f aca="false">IF($L21&lt;&gt;"TAK",0,IF($J21="NIEPOLICZONE",0,IFERROR(ROUND(IF($F21="",$G21,$F21)*(IF($I21="",IF($E21="GOTÓWKA",1,0),$I21)),2),0)))</f>
        <v>0</v>
      </c>
      <c r="N21" s="46" t="n">
        <f aca="false">IF($L21&lt;&gt;"TAK",0,IF($J21="NIEPOLICZONE",0,IFERROR(ROUND(IF($G21="",$G21,$G21)*(IF($I21="",IF($E21="GOTÓWKA",1,0),$I21)),2),0)))</f>
        <v>0</v>
      </c>
      <c r="O21" s="35" t="n">
        <f aca="false">IF($L21&lt;&gt;"TAK",0,IF($J21="NIEPOLICZONE",0,IFERROR(ROUND(IF($H21="",$G21,$H21)*(IF($I21="",IF($E21="GOTÓWKA",1,0),$I21)),2),0)))</f>
        <v>0</v>
      </c>
      <c r="P21" s="33"/>
    </row>
    <row r="22" customFormat="false" ht="18" hidden="false" customHeight="true" outlineLevel="0" collapsed="false">
      <c r="A22" s="25" t="s">
        <v>669</v>
      </c>
      <c r="B22" s="33"/>
      <c r="C22" s="33"/>
      <c r="D22" s="33"/>
      <c r="E22" s="33"/>
      <c r="F22" s="32"/>
      <c r="G22" s="32"/>
      <c r="H22" s="32"/>
      <c r="I22" s="31"/>
      <c r="J22" s="33"/>
      <c r="K22" s="33"/>
      <c r="L22" s="33"/>
      <c r="M22" s="35" t="n">
        <f aca="false">IF($L22&lt;&gt;"TAK",0,IF($J22="NIEPOLICZONE",0,IFERROR(ROUND(IF($F22="",$G22,$F22)*(IF($I22="",IF($E22="GOTÓWKA",1,0),$I22)),2),0)))</f>
        <v>0</v>
      </c>
      <c r="N22" s="46" t="n">
        <f aca="false">IF($L22&lt;&gt;"TAK",0,IF($J22="NIEPOLICZONE",0,IFERROR(ROUND(IF($G22="",$G22,$G22)*(IF($I22="",IF($E22="GOTÓWKA",1,0),$I22)),2),0)))</f>
        <v>0</v>
      </c>
      <c r="O22" s="35" t="n">
        <f aca="false">IF($L22&lt;&gt;"TAK",0,IF($J22="NIEPOLICZONE",0,IFERROR(ROUND(IF($H22="",$G22,$H22)*(IF($I22="",IF($E22="GOTÓWKA",1,0),$I22)),2),0)))</f>
        <v>0</v>
      </c>
      <c r="P22" s="33"/>
    </row>
    <row r="23" customFormat="false" ht="18" hidden="false" customHeight="true" outlineLevel="0" collapsed="false">
      <c r="A23" s="25" t="s">
        <v>670</v>
      </c>
      <c r="B23" s="33"/>
      <c r="C23" s="33"/>
      <c r="D23" s="33"/>
      <c r="E23" s="33"/>
      <c r="F23" s="32"/>
      <c r="G23" s="32"/>
      <c r="H23" s="32"/>
      <c r="I23" s="31"/>
      <c r="J23" s="33"/>
      <c r="K23" s="33"/>
      <c r="L23" s="33"/>
      <c r="M23" s="35" t="n">
        <f aca="false">IF($L23&lt;&gt;"TAK",0,IF($J23="NIEPOLICZONE",0,IFERROR(ROUND(IF($F23="",$G23,$F23)*(IF($I23="",IF($E23="GOTÓWKA",1,0),$I23)),2),0)))</f>
        <v>0</v>
      </c>
      <c r="N23" s="46" t="n">
        <f aca="false">IF($L23&lt;&gt;"TAK",0,IF($J23="NIEPOLICZONE",0,IFERROR(ROUND(IF($G23="",$G23,$G23)*(IF($I23="",IF($E23="GOTÓWKA",1,0),$I23)),2),0)))</f>
        <v>0</v>
      </c>
      <c r="O23" s="35" t="n">
        <f aca="false">IF($L23&lt;&gt;"TAK",0,IF($J23="NIEPOLICZONE",0,IFERROR(ROUND(IF($H23="",$G23,$H23)*(IF($I23="",IF($E23="GOTÓWKA",1,0),$I23)),2),0)))</f>
        <v>0</v>
      </c>
      <c r="P23" s="33"/>
    </row>
    <row r="24" customFormat="false" ht="18" hidden="false" customHeight="true" outlineLevel="0" collapsed="false">
      <c r="A24" s="25" t="s">
        <v>671</v>
      </c>
      <c r="B24" s="33"/>
      <c r="C24" s="33"/>
      <c r="D24" s="33"/>
      <c r="E24" s="33"/>
      <c r="F24" s="32"/>
      <c r="G24" s="32"/>
      <c r="H24" s="32"/>
      <c r="I24" s="31"/>
      <c r="J24" s="33"/>
      <c r="K24" s="33"/>
      <c r="L24" s="33"/>
      <c r="M24" s="35" t="n">
        <f aca="false">IF($L24&lt;&gt;"TAK",0,IF($J24="NIEPOLICZONE",0,IFERROR(ROUND(IF($F24="",$G24,$F24)*(IF($I24="",IF($E24="GOTÓWKA",1,0),$I24)),2),0)))</f>
        <v>0</v>
      </c>
      <c r="N24" s="46" t="n">
        <f aca="false">IF($L24&lt;&gt;"TAK",0,IF($J24="NIEPOLICZONE",0,IFERROR(ROUND(IF($G24="",$G24,$G24)*(IF($I24="",IF($E24="GOTÓWKA",1,0),$I24)),2),0)))</f>
        <v>0</v>
      </c>
      <c r="O24" s="35" t="n">
        <f aca="false">IF($L24&lt;&gt;"TAK",0,IF($J24="NIEPOLICZONE",0,IFERROR(ROUND(IF($H24="",$G24,$H24)*(IF($I24="",IF($E24="GOTÓWKA",1,0),$I24)),2),0)))</f>
        <v>0</v>
      </c>
      <c r="P24" s="33"/>
    </row>
    <row r="25" customFormat="false" ht="18" hidden="false" customHeight="true" outlineLevel="0" collapsed="false">
      <c r="A25" s="25" t="s">
        <v>672</v>
      </c>
      <c r="B25" s="33"/>
      <c r="C25" s="33"/>
      <c r="D25" s="33"/>
      <c r="E25" s="33"/>
      <c r="F25" s="32"/>
      <c r="G25" s="32"/>
      <c r="H25" s="32"/>
      <c r="I25" s="31"/>
      <c r="J25" s="33"/>
      <c r="K25" s="33"/>
      <c r="L25" s="33"/>
      <c r="M25" s="35" t="n">
        <f aca="false">IF($L25&lt;&gt;"TAK",0,IF($J25="NIEPOLICZONE",0,IFERROR(ROUND(IF($F25="",$G25,$F25)*(IF($I25="",IF($E25="GOTÓWKA",1,0),$I25)),2),0)))</f>
        <v>0</v>
      </c>
      <c r="N25" s="46" t="n">
        <f aca="false">IF($L25&lt;&gt;"TAK",0,IF($J25="NIEPOLICZONE",0,IFERROR(ROUND(IF($G25="",$G25,$G25)*(IF($I25="",IF($E25="GOTÓWKA",1,0),$I25)),2),0)))</f>
        <v>0</v>
      </c>
      <c r="O25" s="35" t="n">
        <f aca="false">IF($L25&lt;&gt;"TAK",0,IF($J25="NIEPOLICZONE",0,IFERROR(ROUND(IF($H25="",$G25,$H25)*(IF($I25="",IF($E25="GOTÓWKA",1,0),$I25)),2),0)))</f>
        <v>0</v>
      </c>
      <c r="P25" s="33"/>
    </row>
    <row r="26" customFormat="false" ht="18" hidden="false" customHeight="true" outlineLevel="0" collapsed="false">
      <c r="A26" s="25" t="s">
        <v>673</v>
      </c>
      <c r="B26" s="33"/>
      <c r="C26" s="33"/>
      <c r="D26" s="33"/>
      <c r="E26" s="33"/>
      <c r="F26" s="32"/>
      <c r="G26" s="32"/>
      <c r="H26" s="32"/>
      <c r="I26" s="31"/>
      <c r="J26" s="33"/>
      <c r="K26" s="33"/>
      <c r="L26" s="33"/>
      <c r="M26" s="35" t="n">
        <f aca="false">IF($L26&lt;&gt;"TAK",0,IF($J26="NIEPOLICZONE",0,IFERROR(ROUND(IF($F26="",$G26,$F26)*(IF($I26="",IF($E26="GOTÓWKA",1,0),$I26)),2),0)))</f>
        <v>0</v>
      </c>
      <c r="N26" s="46" t="n">
        <f aca="false">IF($L26&lt;&gt;"TAK",0,IF($J26="NIEPOLICZONE",0,IFERROR(ROUND(IF($G26="",$G26,$G26)*(IF($I26="",IF($E26="GOTÓWKA",1,0),$I26)),2),0)))</f>
        <v>0</v>
      </c>
      <c r="O26" s="35" t="n">
        <f aca="false">IF($L26&lt;&gt;"TAK",0,IF($J26="NIEPOLICZONE",0,IFERROR(ROUND(IF($H26="",$G26,$H26)*(IF($I26="",IF($E26="GOTÓWKA",1,0),$I26)),2),0)))</f>
        <v>0</v>
      </c>
      <c r="P26" s="33"/>
    </row>
    <row r="27" customFormat="false" ht="18" hidden="false" customHeight="true" outlineLevel="0" collapsed="false">
      <c r="A27" s="25" t="s">
        <v>674</v>
      </c>
      <c r="B27" s="33"/>
      <c r="C27" s="33"/>
      <c r="D27" s="33"/>
      <c r="E27" s="33"/>
      <c r="F27" s="32"/>
      <c r="G27" s="32"/>
      <c r="H27" s="32"/>
      <c r="I27" s="31"/>
      <c r="J27" s="33"/>
      <c r="K27" s="33"/>
      <c r="L27" s="33"/>
      <c r="M27" s="35" t="n">
        <f aca="false">IF($L27&lt;&gt;"TAK",0,IF($J27="NIEPOLICZONE",0,IFERROR(ROUND(IF($F27="",$G27,$F27)*(IF($I27="",IF($E27="GOTÓWKA",1,0),$I27)),2),0)))</f>
        <v>0</v>
      </c>
      <c r="N27" s="46" t="n">
        <f aca="false">IF($L27&lt;&gt;"TAK",0,IF($J27="NIEPOLICZONE",0,IFERROR(ROUND(IF($G27="",$G27,$G27)*(IF($I27="",IF($E27="GOTÓWKA",1,0),$I27)),2),0)))</f>
        <v>0</v>
      </c>
      <c r="O27" s="35" t="n">
        <f aca="false">IF($L27&lt;&gt;"TAK",0,IF($J27="NIEPOLICZONE",0,IFERROR(ROUND(IF($H27="",$G27,$H27)*(IF($I27="",IF($E27="GOTÓWKA",1,0),$I27)),2),0)))</f>
        <v>0</v>
      </c>
      <c r="P27" s="33"/>
    </row>
    <row r="28" customFormat="false" ht="18" hidden="false" customHeight="true" outlineLevel="0" collapsed="false">
      <c r="A28" s="25" t="s">
        <v>675</v>
      </c>
      <c r="B28" s="33"/>
      <c r="C28" s="33"/>
      <c r="D28" s="33"/>
      <c r="E28" s="33"/>
      <c r="F28" s="32"/>
      <c r="G28" s="32"/>
      <c r="H28" s="32"/>
      <c r="I28" s="31"/>
      <c r="J28" s="33"/>
      <c r="K28" s="33"/>
      <c r="L28" s="33"/>
      <c r="M28" s="35" t="n">
        <f aca="false">IF($L28&lt;&gt;"TAK",0,IF($J28="NIEPOLICZONE",0,IFERROR(ROUND(IF($F28="",$G28,$F28)*(IF($I28="",IF($E28="GOTÓWKA",1,0),$I28)),2),0)))</f>
        <v>0</v>
      </c>
      <c r="N28" s="46" t="n">
        <f aca="false">IF($L28&lt;&gt;"TAK",0,IF($J28="NIEPOLICZONE",0,IFERROR(ROUND(IF($G28="",$G28,$G28)*(IF($I28="",IF($E28="GOTÓWKA",1,0),$I28)),2),0)))</f>
        <v>0</v>
      </c>
      <c r="O28" s="35" t="n">
        <f aca="false">IF($L28&lt;&gt;"TAK",0,IF($J28="NIEPOLICZONE",0,IFERROR(ROUND(IF($H28="",$G28,$H28)*(IF($I28="",IF($E28="GOTÓWKA",1,0),$I28)),2),0)))</f>
        <v>0</v>
      </c>
      <c r="P28" s="33"/>
    </row>
    <row r="29" customFormat="false" ht="18" hidden="false" customHeight="true" outlineLevel="0" collapsed="false">
      <c r="A29" s="25" t="s">
        <v>676</v>
      </c>
      <c r="B29" s="33"/>
      <c r="C29" s="33"/>
      <c r="D29" s="33"/>
      <c r="E29" s="33"/>
      <c r="F29" s="32"/>
      <c r="G29" s="32"/>
      <c r="H29" s="32"/>
      <c r="I29" s="31"/>
      <c r="J29" s="33"/>
      <c r="K29" s="33"/>
      <c r="L29" s="33"/>
      <c r="M29" s="35" t="n">
        <f aca="false">IF($L29&lt;&gt;"TAK",0,IF($J29="NIEPOLICZONE",0,IFERROR(ROUND(IF($F29="",$G29,$F29)*(IF($I29="",IF($E29="GOTÓWKA",1,0),$I29)),2),0)))</f>
        <v>0</v>
      </c>
      <c r="N29" s="46" t="n">
        <f aca="false">IF($L29&lt;&gt;"TAK",0,IF($J29="NIEPOLICZONE",0,IFERROR(ROUND(IF($G29="",$G29,$G29)*(IF($I29="",IF($E29="GOTÓWKA",1,0),$I29)),2),0)))</f>
        <v>0</v>
      </c>
      <c r="O29" s="35" t="n">
        <f aca="false">IF($L29&lt;&gt;"TAK",0,IF($J29="NIEPOLICZONE",0,IFERROR(ROUND(IF($H29="",$G29,$H29)*(IF($I29="",IF($E29="GOTÓWKA",1,0),$I29)),2),0)))</f>
        <v>0</v>
      </c>
      <c r="P29" s="33"/>
    </row>
    <row r="30" customFormat="false" ht="18" hidden="false" customHeight="true" outlineLevel="0" collapsed="false">
      <c r="A30" s="25" t="s">
        <v>677</v>
      </c>
      <c r="B30" s="33"/>
      <c r="C30" s="33"/>
      <c r="D30" s="33"/>
      <c r="E30" s="33"/>
      <c r="F30" s="32"/>
      <c r="G30" s="32"/>
      <c r="H30" s="32"/>
      <c r="I30" s="31"/>
      <c r="J30" s="33"/>
      <c r="K30" s="33"/>
      <c r="L30" s="33"/>
      <c r="M30" s="35" t="n">
        <f aca="false">IF($L30&lt;&gt;"TAK",0,IF($J30="NIEPOLICZONE",0,IFERROR(ROUND(IF($F30="",$G30,$F30)*(IF($I30="",IF($E30="GOTÓWKA",1,0),$I30)),2),0)))</f>
        <v>0</v>
      </c>
      <c r="N30" s="46" t="n">
        <f aca="false">IF($L30&lt;&gt;"TAK",0,IF($J30="NIEPOLICZONE",0,IFERROR(ROUND(IF($G30="",$G30,$G30)*(IF($I30="",IF($E30="GOTÓWKA",1,0),$I30)),2),0)))</f>
        <v>0</v>
      </c>
      <c r="O30" s="35" t="n">
        <f aca="false">IF($L30&lt;&gt;"TAK",0,IF($J30="NIEPOLICZONE",0,IFERROR(ROUND(IF($H30="",$G30,$H30)*(IF($I30="",IF($E30="GOTÓWKA",1,0),$I30)),2),0)))</f>
        <v>0</v>
      </c>
      <c r="P30" s="33"/>
    </row>
    <row r="31" customFormat="false" ht="18" hidden="false" customHeight="true" outlineLevel="0" collapsed="false">
      <c r="A31" s="25" t="s">
        <v>678</v>
      </c>
      <c r="B31" s="33"/>
      <c r="C31" s="33"/>
      <c r="D31" s="33"/>
      <c r="E31" s="33"/>
      <c r="F31" s="32"/>
      <c r="G31" s="32"/>
      <c r="H31" s="32"/>
      <c r="I31" s="31"/>
      <c r="J31" s="33"/>
      <c r="K31" s="33"/>
      <c r="L31" s="33"/>
      <c r="M31" s="35" t="n">
        <f aca="false">IF($L31&lt;&gt;"TAK",0,IF($J31="NIEPOLICZONE",0,IFERROR(ROUND(IF($F31="",$G31,$F31)*(IF($I31="",IF($E31="GOTÓWKA",1,0),$I31)),2),0)))</f>
        <v>0</v>
      </c>
      <c r="N31" s="46" t="n">
        <f aca="false">IF($L31&lt;&gt;"TAK",0,IF($J31="NIEPOLICZONE",0,IFERROR(ROUND(IF($G31="",$G31,$G31)*(IF($I31="",IF($E31="GOTÓWKA",1,0),$I31)),2),0)))</f>
        <v>0</v>
      </c>
      <c r="O31" s="35" t="n">
        <f aca="false">IF($L31&lt;&gt;"TAK",0,IF($J31="NIEPOLICZONE",0,IFERROR(ROUND(IF($H31="",$G31,$H31)*(IF($I31="",IF($E31="GOTÓWKA",1,0),$I31)),2),0)))</f>
        <v>0</v>
      </c>
      <c r="P31" s="33"/>
    </row>
    <row r="32" customFormat="false" ht="18" hidden="false" customHeight="true" outlineLevel="0" collapsed="false">
      <c r="A32" s="25" t="s">
        <v>679</v>
      </c>
      <c r="B32" s="33"/>
      <c r="C32" s="33"/>
      <c r="D32" s="33"/>
      <c r="E32" s="33"/>
      <c r="F32" s="32"/>
      <c r="G32" s="32"/>
      <c r="H32" s="32"/>
      <c r="I32" s="31"/>
      <c r="J32" s="33"/>
      <c r="K32" s="33"/>
      <c r="L32" s="33"/>
      <c r="M32" s="35" t="n">
        <f aca="false">IF($L32&lt;&gt;"TAK",0,IF($J32="NIEPOLICZONE",0,IFERROR(ROUND(IF($F32="",$G32,$F32)*(IF($I32="",IF($E32="GOTÓWKA",1,0),$I32)),2),0)))</f>
        <v>0</v>
      </c>
      <c r="N32" s="46" t="n">
        <f aca="false">IF($L32&lt;&gt;"TAK",0,IF($J32="NIEPOLICZONE",0,IFERROR(ROUND(IF($G32="",$G32,$G32)*(IF($I32="",IF($E32="GOTÓWKA",1,0),$I32)),2),0)))</f>
        <v>0</v>
      </c>
      <c r="O32" s="35" t="n">
        <f aca="false">IF($L32&lt;&gt;"TAK",0,IF($J32="NIEPOLICZONE",0,IFERROR(ROUND(IF($H32="",$G32,$H32)*(IF($I32="",IF($E32="GOTÓWKA",1,0),$I32)),2),0)))</f>
        <v>0</v>
      </c>
      <c r="P32" s="33"/>
    </row>
    <row r="33" customFormat="false" ht="18" hidden="false" customHeight="true" outlineLevel="0" collapsed="false">
      <c r="A33" s="25" t="s">
        <v>680</v>
      </c>
      <c r="B33" s="33"/>
      <c r="C33" s="33"/>
      <c r="D33" s="33"/>
      <c r="E33" s="33"/>
      <c r="F33" s="32"/>
      <c r="G33" s="32"/>
      <c r="H33" s="32"/>
      <c r="I33" s="31"/>
      <c r="J33" s="33"/>
      <c r="K33" s="33"/>
      <c r="L33" s="33"/>
      <c r="M33" s="35" t="n">
        <f aca="false">IF($L33&lt;&gt;"TAK",0,IF($J33="NIEPOLICZONE",0,IFERROR(ROUND(IF($F33="",$G33,$F33)*(IF($I33="",IF($E33="GOTÓWKA",1,0),$I33)),2),0)))</f>
        <v>0</v>
      </c>
      <c r="N33" s="46" t="n">
        <f aca="false">IF($L33&lt;&gt;"TAK",0,IF($J33="NIEPOLICZONE",0,IFERROR(ROUND(IF($G33="",$G33,$G33)*(IF($I33="",IF($E33="GOTÓWKA",1,0),$I33)),2),0)))</f>
        <v>0</v>
      </c>
      <c r="O33" s="35" t="n">
        <f aca="false">IF($L33&lt;&gt;"TAK",0,IF($J33="NIEPOLICZONE",0,IFERROR(ROUND(IF($H33="",$G33,$H33)*(IF($I33="",IF($E33="GOTÓWKA",1,0),$I33)),2),0)))</f>
        <v>0</v>
      </c>
      <c r="P33" s="33"/>
    </row>
    <row r="34" customFormat="false" ht="18" hidden="false" customHeight="true" outlineLevel="0" collapsed="false">
      <c r="A34" s="25" t="s">
        <v>681</v>
      </c>
      <c r="B34" s="33"/>
      <c r="C34" s="33"/>
      <c r="D34" s="33"/>
      <c r="E34" s="33"/>
      <c r="F34" s="32"/>
      <c r="G34" s="32"/>
      <c r="H34" s="32"/>
      <c r="I34" s="31"/>
      <c r="J34" s="33"/>
      <c r="K34" s="33"/>
      <c r="L34" s="33"/>
      <c r="M34" s="35" t="n">
        <f aca="false">IF($L34&lt;&gt;"TAK",0,IF($J34="NIEPOLICZONE",0,IFERROR(ROUND(IF($F34="",$G34,$F34)*(IF($I34="",IF($E34="GOTÓWKA",1,0),$I34)),2),0)))</f>
        <v>0</v>
      </c>
      <c r="N34" s="46" t="n">
        <f aca="false">IF($L34&lt;&gt;"TAK",0,IF($J34="NIEPOLICZONE",0,IFERROR(ROUND(IF($G34="",$G34,$G34)*(IF($I34="",IF($E34="GOTÓWKA",1,0),$I34)),2),0)))</f>
        <v>0</v>
      </c>
      <c r="O34" s="35" t="n">
        <f aca="false">IF($L34&lt;&gt;"TAK",0,IF($J34="NIEPOLICZONE",0,IFERROR(ROUND(IF($H34="",$G34,$H34)*(IF($I34="",IF($E34="GOTÓWKA",1,0),$I34)),2),0)))</f>
        <v>0</v>
      </c>
      <c r="P34" s="33"/>
    </row>
    <row r="35" customFormat="false" ht="18" hidden="false" customHeight="true" outlineLevel="0" collapsed="false">
      <c r="A35" s="25" t="s">
        <v>682</v>
      </c>
      <c r="B35" s="33"/>
      <c r="C35" s="33"/>
      <c r="D35" s="33"/>
      <c r="E35" s="33"/>
      <c r="F35" s="32"/>
      <c r="G35" s="32"/>
      <c r="H35" s="32"/>
      <c r="I35" s="31"/>
      <c r="J35" s="33"/>
      <c r="K35" s="33"/>
      <c r="L35" s="33"/>
      <c r="M35" s="35" t="n">
        <f aca="false">IF($L35&lt;&gt;"TAK",0,IF($J35="NIEPOLICZONE",0,IFERROR(ROUND(IF($F35="",$G35,$F35)*(IF($I35="",IF($E35="GOTÓWKA",1,0),$I35)),2),0)))</f>
        <v>0</v>
      </c>
      <c r="N35" s="46" t="n">
        <f aca="false">IF($L35&lt;&gt;"TAK",0,IF($J35="NIEPOLICZONE",0,IFERROR(ROUND(IF($G35="",$G35,$G35)*(IF($I35="",IF($E35="GOTÓWKA",1,0),$I35)),2),0)))</f>
        <v>0</v>
      </c>
      <c r="O35" s="35" t="n">
        <f aca="false">IF($L35&lt;&gt;"TAK",0,IF($J35="NIEPOLICZONE",0,IFERROR(ROUND(IF($H35="",$G35,$H35)*(IF($I35="",IF($E35="GOTÓWKA",1,0),$I35)),2),0)))</f>
        <v>0</v>
      </c>
      <c r="P35" s="33"/>
    </row>
    <row r="36" customFormat="false" ht="18" hidden="false" customHeight="true" outlineLevel="0" collapsed="false">
      <c r="A36" s="25" t="s">
        <v>683</v>
      </c>
      <c r="B36" s="33"/>
      <c r="C36" s="33"/>
      <c r="D36" s="33"/>
      <c r="E36" s="33"/>
      <c r="F36" s="32"/>
      <c r="G36" s="32"/>
      <c r="H36" s="32"/>
      <c r="I36" s="31"/>
      <c r="J36" s="33"/>
      <c r="K36" s="33"/>
      <c r="L36" s="33"/>
      <c r="M36" s="35" t="n">
        <f aca="false">IF($L36&lt;&gt;"TAK",0,IF($J36="NIEPOLICZONE",0,IFERROR(ROUND(IF($F36="",$G36,$F36)*(IF($I36="",IF($E36="GOTÓWKA",1,0),$I36)),2),0)))</f>
        <v>0</v>
      </c>
      <c r="N36" s="46" t="n">
        <f aca="false">IF($L36&lt;&gt;"TAK",0,IF($J36="NIEPOLICZONE",0,IFERROR(ROUND(IF($G36="",$G36,$G36)*(IF($I36="",IF($E36="GOTÓWKA",1,0),$I36)),2),0)))</f>
        <v>0</v>
      </c>
      <c r="O36" s="35" t="n">
        <f aca="false">IF($L36&lt;&gt;"TAK",0,IF($J36="NIEPOLICZONE",0,IFERROR(ROUND(IF($H36="",$G36,$H36)*(IF($I36="",IF($E36="GOTÓWKA",1,0),$I36)),2),0)))</f>
        <v>0</v>
      </c>
      <c r="P36" s="33"/>
    </row>
    <row r="37" customFormat="false" ht="18" hidden="false" customHeight="true" outlineLevel="0" collapsed="false">
      <c r="A37" s="25" t="s">
        <v>684</v>
      </c>
      <c r="B37" s="33"/>
      <c r="C37" s="33"/>
      <c r="D37" s="33"/>
      <c r="E37" s="33"/>
      <c r="F37" s="32"/>
      <c r="G37" s="32"/>
      <c r="H37" s="32"/>
      <c r="I37" s="31"/>
      <c r="J37" s="33"/>
      <c r="K37" s="33"/>
      <c r="L37" s="33"/>
      <c r="M37" s="35" t="n">
        <f aca="false">IF($L37&lt;&gt;"TAK",0,IF($J37="NIEPOLICZONE",0,IFERROR(ROUND(IF($F37="",$G37,$F37)*(IF($I37="",IF($E37="GOTÓWKA",1,0),$I37)),2),0)))</f>
        <v>0</v>
      </c>
      <c r="N37" s="46" t="n">
        <f aca="false">IF($L37&lt;&gt;"TAK",0,IF($J37="NIEPOLICZONE",0,IFERROR(ROUND(IF($G37="",$G37,$G37)*(IF($I37="",IF($E37="GOTÓWKA",1,0),$I37)),2),0)))</f>
        <v>0</v>
      </c>
      <c r="O37" s="35" t="n">
        <f aca="false">IF($L37&lt;&gt;"TAK",0,IF($J37="NIEPOLICZONE",0,IFERROR(ROUND(IF($H37="",$G37,$H37)*(IF($I37="",IF($E37="GOTÓWKA",1,0),$I37)),2),0)))</f>
        <v>0</v>
      </c>
      <c r="P37" s="33"/>
    </row>
    <row r="38" customFormat="false" ht="18" hidden="false" customHeight="true" outlineLevel="0" collapsed="false">
      <c r="A38" s="25" t="s">
        <v>685</v>
      </c>
      <c r="B38" s="33"/>
      <c r="C38" s="33"/>
      <c r="D38" s="33"/>
      <c r="E38" s="33"/>
      <c r="F38" s="32"/>
      <c r="G38" s="32"/>
      <c r="H38" s="32"/>
      <c r="I38" s="31"/>
      <c r="J38" s="33"/>
      <c r="K38" s="33"/>
      <c r="L38" s="33"/>
      <c r="M38" s="35" t="n">
        <f aca="false">IF($L38&lt;&gt;"TAK",0,IF($J38="NIEPOLICZONE",0,IFERROR(ROUND(IF($F38="",$G38,$F38)*(IF($I38="",IF($E38="GOTÓWKA",1,0),$I38)),2),0)))</f>
        <v>0</v>
      </c>
      <c r="N38" s="46" t="n">
        <f aca="false">IF($L38&lt;&gt;"TAK",0,IF($J38="NIEPOLICZONE",0,IFERROR(ROUND(IF($G38="",$G38,$G38)*(IF($I38="",IF($E38="GOTÓWKA",1,0),$I38)),2),0)))</f>
        <v>0</v>
      </c>
      <c r="O38" s="35" t="n">
        <f aca="false">IF($L38&lt;&gt;"TAK",0,IF($J38="NIEPOLICZONE",0,IFERROR(ROUND(IF($H38="",$G38,$H38)*(IF($I38="",IF($E38="GOTÓWKA",1,0),$I38)),2),0)))</f>
        <v>0</v>
      </c>
      <c r="P38" s="33"/>
    </row>
  </sheetData>
  <mergeCells count="4">
    <mergeCell ref="A2:H2"/>
    <mergeCell ref="A3:H3"/>
    <mergeCell ref="A4:H4"/>
    <mergeCell ref="A5:H5"/>
  </mergeCells>
  <dataValidations count="7">
    <dataValidation allowBlank="true" error="Wybierz wartość z listy." errorStyle="stop" errorTitle="Wartość spoza listy" operator="between" showDropDown="false" showErrorMessage="false" showInputMessage="false" sqref="B9:B38" type="list">
      <formula1>'LISTY POMOCNICZE'!$L$8:$L$15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C9:C38" type="list">
      <formula1>'LISTY POMOCNICZE'!$T$8:$T$16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J9:J38" type="list">
      <formula1>'LISTY POMOCNICZE'!$G$8:$G$13</formula1>
      <formula2>0</formula2>
    </dataValidation>
    <dataValidation allowBlank="true" error="Wybierz wartość z listy." errorStyle="stop" errorTitle="Wartość spoza listy" operator="between" showDropDown="false" showErrorMessage="false" showInputMessage="false" sqref="L9:L38" type="list">
      <formula1>'LISTY POMOCNICZE'!$I$8:$I$9</formula1>
      <formula2>0</formula2>
    </dataValidation>
    <dataValidation allowBlank="true" error="Dozwolone: GOTÓWKA albo WARUNKOWA." errorStyle="stop" errorTitle="Wartość spoza listy" operator="between" showDropDown="false" showErrorMessage="false" showInputMessage="false" sqref="E9:E38" type="list">
      <formula1>"GOTÓWKA,WARUNKOWA"</formula1>
      <formula2>0</formula2>
    </dataValidation>
    <dataValidation allowBlank="true" error="Podaj liczbę nie mniejszą niż 0." errorStyle="stop" errorTitle="Wartość nieprawidłowa" operator="greaterThanOrEqual" showDropDown="false" showErrorMessage="false" showInputMessage="false" sqref="F9:H38" type="decimal">
      <formula1>0</formula1>
      <formula2>0</formula2>
    </dataValidation>
    <dataValidation allowBlank="true" error="Prawdopodobieństwo od 0% do 100%." errorStyle="stop" errorTitle="Procent poza zakresem" operator="between" showDropDown="false" showErrorMessage="false" showInputMessage="false" sqref="I9:I38" type="decimal">
      <formula1>0</formula1>
      <formula2>1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Narzędzie</cp:category>
  <dcterms:created xsi:type="dcterms:W3CDTF">2026-07-31T16:35:39Z</dcterms:created>
  <dc:creator>NexaIT</dc:creator>
  <dc:description>Narzędzie NexaIT do szacowania kosztu przestoju infrastruktury IT. Wersja 1.0, metodologia z 31.07.2026. Wynik jest estymacją, nie audytem ani wyceną.</dc:description>
  <cp:keywords>przestój IT BIA ciągłość działania koszt awarii RTO RPO</cp:keywords>
  <dc:language>en-US</dc:language>
  <cp:lastModifiedBy/>
  <dcterms:modified xsi:type="dcterms:W3CDTF">2026-07-31T18:35:40Z</dcterms:modified>
  <cp:revision>2</cp:revision>
  <dc:subject>Business Impact Analysis / koszt przestoju IT</dc:subject>
  <dc:title>Kalkulator realnych kosztów przestojów IT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