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comments/comment2.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comments/comment3.xml" ContentType="application/vnd.openxmlformats-officedocument.spreadsheetml.comments+xml"/>
  <Override PartName="/xl/worksheets/sheet7.xml" ContentType="application/vnd.openxmlformats-officedocument.spreadsheetml.worksheet+xml"/>
  <Override PartName="/xl/comments/comment4.xml" ContentType="application/vnd.openxmlformats-officedocument.spreadsheetml.comments+xml"/>
  <Override PartName="/xl/worksheets/sheet8.xml" ContentType="application/vnd.openxmlformats-officedocument.spreadsheetml.worksheet+xml"/>
  <Override PartName="/xl/comments/comment5.xml" ContentType="application/vnd.openxmlformats-officedocument.spreadsheetml.comments+xml"/>
  <Override PartName="/xl/worksheets/sheet9.xml" ContentType="application/vnd.openxmlformats-officedocument.spreadsheetml.worksheet+xml"/>
  <Override PartName="/xl/comments/comment6.xml" ContentType="application/vnd.openxmlformats-officedocument.spreadsheetml.comments+xml"/>
  <Override PartName="/xl/worksheets/sheet10.xml" ContentType="application/vnd.openxmlformats-officedocument.spreadsheetml.worksheet+xml"/>
  <Override PartName="/xl/comments/comment7.xml" ContentType="application/vnd.openxmlformats-officedocument.spreadsheetml.comments+xml"/>
  <Override PartName="/xl/worksheets/sheet11.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START" sheetId="1" state="visible" r:id="rId1"/>
    <sheet xmlns:r="http://schemas.openxmlformats.org/officeDocument/2006/relationships" name="QUICK RESULT" sheetId="2" state="visible" r:id="rId2"/>
    <sheet xmlns:r="http://schemas.openxmlformats.org/officeDocument/2006/relationships" name="COMPANY PROFILE" sheetId="3" state="visible" r:id="rId3"/>
    <sheet xmlns:r="http://schemas.openxmlformats.org/officeDocument/2006/relationships" name="PROCESSES" sheetId="4" state="visible" r:id="rId4"/>
    <sheet xmlns:r="http://schemas.openxmlformats.org/officeDocument/2006/relationships" name="SYSTEMS AND DEPENDENCIES" sheetId="5" state="visible" r:id="rId5"/>
    <sheet xmlns:r="http://schemas.openxmlformats.org/officeDocument/2006/relationships" name="SCENARIOS" sheetId="6" state="visible" r:id="rId6"/>
    <sheet xmlns:r="http://schemas.openxmlformats.org/officeDocument/2006/relationships" name="DETAILED COSTS" sheetId="7" state="visible" r:id="rId7"/>
    <sheet xmlns:r="http://schemas.openxmlformats.org/officeDocument/2006/relationships" name="DATA AND RECOVERY" sheetId="8" state="visible" r:id="rId8"/>
    <sheet xmlns:r="http://schemas.openxmlformats.org/officeDocument/2006/relationships" name="CLIENT LEGAL AND CYBER" sheetId="9" state="visible" r:id="rId9"/>
    <sheet xmlns:r="http://schemas.openxmlformats.org/officeDocument/2006/relationships" name="RISK AND ROI" sheetId="10" state="visible" r:id="rId10"/>
    <sheet xmlns:r="http://schemas.openxmlformats.org/officeDocument/2006/relationships" name="DASHBOARD" sheetId="11" state="visible" r:id="rId11"/>
    <sheet xmlns:r="http://schemas.openxmlformats.org/officeDocument/2006/relationships" name="ONE-PAGE REPORT" sheetId="12" state="visible" r:id="rId12"/>
    <sheet xmlns:r="http://schemas.openxmlformats.org/officeDocument/2006/relationships" name="GLOSSARY AND METHODS" sheetId="13" state="visible" r:id="rId13"/>
    <sheet xmlns:r="http://schemas.openxmlformats.org/officeDocument/2006/relationships" name="SOURCES AND ASSUMPTIONS" sheetId="14" state="visible" r:id="rId14"/>
    <sheet xmlns:r="http://schemas.openxmlformats.org/officeDocument/2006/relationships" name="EXAMPLE" sheetId="15" state="visible" r:id="rId15"/>
    <sheet xmlns:r="http://schemas.openxmlformats.org/officeDocument/2006/relationships" name="QA" sheetId="16" state="visible" r:id="rId16"/>
    <sheet xmlns:r="http://schemas.openxmlformats.org/officeDocument/2006/relationships" name="LOOKUP LISTS" sheetId="17" state="visible" r:id="rId17"/>
  </sheets>
  <definedNames>
    <definedName name="_xlnm.Print_Area" localSheetId="0">'START'!$A$1:$F$43</definedName>
    <definedName name="_xlnm.Print_Area" localSheetId="1">'QUICK RESULT'!$A$1:$G$42</definedName>
    <definedName name="_xlnm.Print_Area" localSheetId="2">'COMPANY PROFILE'!$A$1:$G$32</definedName>
    <definedName name="_xlnm.Print_Area" localSheetId="9">'RISK AND ROI'!$A$1:$T$51</definedName>
    <definedName name="_xlnm.Print_Area" localSheetId="10">'DASHBOARD'!$A$1:$E$68</definedName>
    <definedName name="_xlnm.Print_Area" localSheetId="11">'ONE-PAGE REPORT'!$A$1:$F$49</definedName>
    <definedName name="_xlnm.Print_Area" localSheetId="14">'EXAMPLE'!$A$1:$F$32</definedName>
    <definedName name="_xlnm.Print_Area" localSheetId="15">'QA'!$A$1:$H$36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0&quot; zł&quot;"/>
    <numFmt numFmtId="165" formatCode="0.0%"/>
  </numFmts>
  <fonts count="36">
    <font>
      <name val="Calibri"/>
      <charset val="1"/>
      <family val="2"/>
      <color theme="1"/>
      <sz val="11"/>
    </font>
    <font>
      <name val="Arial"/>
      <family val="0"/>
      <sz val="10"/>
    </font>
    <font>
      <name val="Arial"/>
      <family val="0"/>
      <sz val="10"/>
    </font>
    <font>
      <name val="Arial"/>
      <family val="0"/>
      <sz val="10"/>
    </font>
    <font>
      <name val="Arial"/>
      <charset val="1"/>
      <family val="0"/>
      <b val="1"/>
      <color rgb="FF10092B"/>
      <sz val="18"/>
    </font>
    <font>
      <name val="Arial"/>
      <charset val="1"/>
      <family val="0"/>
      <color rgb="FF0164FF"/>
      <sz val="11"/>
    </font>
    <font>
      <name val="Arial"/>
      <charset val="1"/>
      <family val="0"/>
      <color rgb="FF5B6274"/>
      <sz val="8"/>
    </font>
    <font>
      <name val="Arial"/>
      <charset val="1"/>
      <family val="0"/>
      <b val="1"/>
      <color rgb="FFFFFFFF"/>
      <sz val="10"/>
    </font>
    <font>
      <name val="Arial"/>
      <charset val="1"/>
      <family val="0"/>
      <b val="1"/>
      <color rgb="FF10092B"/>
      <sz val="11"/>
    </font>
    <font>
      <name val="Arial"/>
      <charset val="1"/>
      <family val="0"/>
      <color rgb="FF24283A"/>
      <sz val="9"/>
    </font>
    <font>
      <name val="Arial"/>
      <charset val="1"/>
      <family val="0"/>
      <b val="1"/>
      <color rgb="FF0164FF"/>
      <sz val="9"/>
    </font>
    <font>
      <name val="Arial"/>
      <charset val="1"/>
      <family val="0"/>
      <b val="1"/>
      <color rgb="FF0B4FC4"/>
      <sz val="9"/>
    </font>
    <font>
      <name val="Arial"/>
      <charset val="1"/>
      <family val="0"/>
      <b val="1"/>
      <color rgb="FF10092B"/>
      <sz val="9"/>
    </font>
    <font>
      <name val="Arial"/>
      <charset val="1"/>
      <family val="0"/>
      <i val="1"/>
      <color rgb="FF5B6274"/>
      <sz val="8"/>
    </font>
    <font>
      <name val="Arial"/>
      <charset val="1"/>
      <family val="0"/>
      <b val="1"/>
      <color rgb="FF24283A"/>
      <sz val="9"/>
    </font>
    <font>
      <name val="Arial"/>
      <charset val="1"/>
      <family val="0"/>
      <b val="1"/>
      <color rgb="FF8A4B00"/>
      <sz val="9"/>
    </font>
    <font>
      <name val="Arial"/>
      <charset val="1"/>
      <family val="0"/>
      <b val="1"/>
      <color rgb="FF5B6274"/>
      <sz val="9"/>
    </font>
    <font>
      <name val="Arial"/>
      <charset val="1"/>
      <family val="0"/>
      <b val="1"/>
      <color rgb="FF0F6B3C"/>
      <sz val="9"/>
    </font>
    <font>
      <name val="Arial"/>
      <charset val="1"/>
      <family val="0"/>
      <b val="1"/>
      <color rgb="FF10092B"/>
      <sz val="10"/>
    </font>
    <font>
      <name val="Arial"/>
      <charset val="1"/>
      <family val="0"/>
      <b val="1"/>
      <color rgb="FF0164FF"/>
      <sz val="11"/>
    </font>
    <font>
      <name val="Arial"/>
      <charset val="1"/>
      <family val="0"/>
      <b val="1"/>
      <color rgb="FF10092B"/>
      <sz val="16"/>
    </font>
    <font>
      <name val="Arial"/>
      <charset val="1"/>
      <family val="0"/>
      <color rgb="FF5B6274"/>
      <sz val="9"/>
    </font>
    <font>
      <name val="Arial"/>
      <charset val="1"/>
      <family val="0"/>
      <b val="1"/>
      <color rgb="FF10092B"/>
      <sz val="8"/>
    </font>
    <font>
      <name val="Arial"/>
      <charset val="1"/>
      <family val="0"/>
      <color rgb="FF0B4FC4"/>
      <sz val="9"/>
    </font>
    <font>
      <name val="Arial"/>
      <charset val="1"/>
      <family val="0"/>
      <i val="1"/>
      <color rgb="FF24283A"/>
      <sz val="9"/>
    </font>
    <font>
      <name val="Arial"/>
      <charset val="1"/>
      <family val="0"/>
      <b val="1"/>
      <color rgb="FF0B4FC4"/>
      <sz val="11"/>
    </font>
    <font>
      <name val="Arial"/>
      <charset val="1"/>
      <family val="0"/>
      <i val="1"/>
      <color rgb="FF5B6274"/>
      <sz val="9"/>
    </font>
    <font>
      <name val="Arial"/>
      <family val="2"/>
      <sz val="10"/>
    </font>
    <font>
      <name val="Arial"/>
      <charset val="1"/>
      <family val="0"/>
      <b val="1"/>
      <color rgb="FF5B6274"/>
      <sz val="8"/>
    </font>
    <font>
      <name val="Arial"/>
      <charset val="1"/>
      <family val="0"/>
      <color rgb="FF0F6B3C"/>
      <sz val="9"/>
    </font>
    <font>
      <name val="Arial"/>
      <charset val="1"/>
      <family val="0"/>
      <b val="1"/>
      <color rgb="FF0164FF"/>
      <sz val="10"/>
    </font>
    <font>
      <name val="Arial"/>
      <charset val="1"/>
      <family val="0"/>
      <b val="1"/>
      <color rgb="FF10092B"/>
      <sz val="12"/>
    </font>
    <font>
      <name val="Calibri"/>
      <family val="2"/>
      <b val="1"/>
      <color rgb="FF000000"/>
      <sz val="18"/>
    </font>
    <font>
      <name val="Calibri"/>
      <family val="2"/>
      <color rgb="FF000000"/>
      <sz val="10"/>
    </font>
    <font>
      <name val="Calibri"/>
      <family val="2"/>
      <b val="1"/>
      <color rgb="FF000000"/>
      <sz val="10"/>
    </font>
    <font>
      <name val="Arial"/>
      <charset val="1"/>
      <family val="0"/>
      <b val="1"/>
      <color rgb="FF8A4B00"/>
      <sz val="14"/>
    </font>
  </fonts>
  <fills count="8">
    <fill>
      <patternFill/>
    </fill>
    <fill>
      <patternFill patternType="gray125"/>
    </fill>
    <fill>
      <patternFill patternType="solid">
        <fgColor rgb="FF10092B"/>
        <bgColor rgb="FF000000"/>
      </patternFill>
    </fill>
    <fill>
      <patternFill patternType="solid">
        <fgColor rgb="FFF2F6FF"/>
        <bgColor rgb="FFEEF3FD"/>
      </patternFill>
    </fill>
    <fill>
      <patternFill patternType="solid">
        <fgColor rgb="FFFFFBEA"/>
        <bgColor rgb="FFFFFFFF"/>
      </patternFill>
    </fill>
    <fill>
      <patternFill patternType="solid">
        <fgColor rgb="FFEEF3FD"/>
        <bgColor rgb="FFF2F6FF"/>
      </patternFill>
    </fill>
    <fill>
      <patternFill patternType="solid">
        <fgColor rgb="FFFDF0D5"/>
        <bgColor rgb="FFFFFBEA"/>
      </patternFill>
    </fill>
    <fill>
      <patternFill patternType="solid">
        <fgColor rgb="FFFFFFFF"/>
        <bgColor rgb="FFFFFBEA"/>
      </patternFill>
    </fill>
  </fills>
  <borders count="7">
    <border>
      <left/>
      <right/>
      <top/>
      <bottom/>
      <diagonal/>
    </border>
    <border>
      <left style="thin">
        <color rgb="FFDCE4F5"/>
      </left>
      <right style="thin">
        <color rgb="FFDCE4F5"/>
      </right>
      <top style="thin">
        <color rgb="FFDCE4F5"/>
      </top>
      <bottom style="thin">
        <color rgb="FFDCE4F5"/>
      </bottom>
      <diagonal/>
    </border>
    <border>
      <left style="thin">
        <color rgb="FFDCE4F5"/>
      </left>
      <right style="thin">
        <color rgb="FFDCE4F5"/>
      </right>
      <top style="medium">
        <color rgb="FF1F6BFF"/>
      </top>
      <bottom style="thin">
        <color rgb="FFDCE4F5"/>
      </bottom>
      <diagonal/>
    </border>
    <border>
      <left/>
      <right/>
      <top style="thin">
        <color rgb="FFDCE4F5"/>
      </top>
      <bottom/>
      <diagonal/>
    </border>
    <border>
      <left/>
      <right style="thin">
        <color rgb="FFDCE4F5"/>
      </right>
      <top style="thin">
        <color rgb="FFDCE4F5"/>
      </top>
      <bottom/>
      <diagonal/>
    </border>
    <border>
      <left/>
      <right/>
      <top style="thin">
        <color rgb="FFDCE4F5"/>
      </top>
      <bottom style="thin">
        <color rgb="FFDCE4F5"/>
      </bottom>
      <diagonal/>
    </border>
    <border>
      <left/>
      <right style="thin">
        <color rgb="FFDCE4F5"/>
      </right>
      <top style="thin">
        <color rgb="FFDCE4F5"/>
      </top>
      <bottom style="thin">
        <color rgb="FFDCE4F5"/>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88">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2" borderId="0" applyAlignment="1" pivotButton="0" quotePrefix="0" xfId="0">
      <alignment horizontal="general" vertical="center" indent="1"/>
    </xf>
    <xf numFmtId="0" fontId="0" fillId="2" borderId="0" applyAlignment="1" pivotButton="0" quotePrefix="0" xfId="0">
      <alignment horizontal="general" vertical="bottom"/>
    </xf>
    <xf numFmtId="0" fontId="8" fillId="0" borderId="0" applyAlignment="1" pivotButton="0" quotePrefix="0" xfId="0">
      <alignment horizontal="general" vertical="bottom"/>
    </xf>
    <xf numFmtId="0" fontId="9" fillId="3" borderId="1" applyAlignment="1" pivotButton="0" quotePrefix="0" xfId="0">
      <alignment horizontal="general" vertical="top" wrapText="1"/>
    </xf>
    <xf numFmtId="0" fontId="10" fillId="0" borderId="0" applyAlignment="1" pivotButton="0" quotePrefix="0" xfId="0">
      <alignment horizontal="general" vertical="bottom"/>
    </xf>
    <xf numFmtId="0" fontId="6" fillId="0" borderId="0" applyAlignment="1" pivotButton="0" quotePrefix="0" xfId="0">
      <alignment horizontal="general" vertical="center" wrapText="1"/>
    </xf>
    <xf numFmtId="0" fontId="11" fillId="4" borderId="1" applyAlignment="1" pivotButton="0" quotePrefix="0" xfId="0">
      <alignment horizontal="general" vertical="bottom"/>
    </xf>
    <xf numFmtId="0" fontId="12" fillId="0" borderId="0" applyAlignment="1" pivotButton="0" quotePrefix="0" xfId="0">
      <alignment horizontal="general" vertical="bottom"/>
    </xf>
    <xf numFmtId="0" fontId="13" fillId="0" borderId="0" applyAlignment="1" pivotButton="0" quotePrefix="0" xfId="0">
      <alignment horizontal="general" vertical="top" wrapText="1"/>
    </xf>
    <xf numFmtId="0" fontId="14" fillId="5" borderId="1" applyAlignment="1" pivotButton="0" quotePrefix="0" xfId="0">
      <alignment horizontal="general" vertical="bottom"/>
    </xf>
    <xf numFmtId="0" fontId="15" fillId="6" borderId="1" applyAlignment="1" pivotButton="0" quotePrefix="0" xfId="0">
      <alignment horizontal="general" vertical="bottom"/>
    </xf>
    <xf numFmtId="0" fontId="16" fillId="7" borderId="1" applyAlignment="1" pivotButton="0" quotePrefix="0" xfId="0">
      <alignment horizontal="general" vertical="bottom"/>
    </xf>
    <xf numFmtId="0" fontId="17" fillId="0" borderId="0" applyAlignment="1" pivotButton="0" quotePrefix="0" xfId="0">
      <alignment horizontal="general" vertical="top" wrapText="1"/>
    </xf>
    <xf numFmtId="0" fontId="18" fillId="3" borderId="0" applyAlignment="1" pivotButton="0" quotePrefix="0" xfId="0">
      <alignment horizontal="general" vertical="bottom"/>
    </xf>
    <xf numFmtId="0" fontId="0" fillId="3" borderId="0" applyAlignment="1" pivotButton="0" quotePrefix="0" xfId="0">
      <alignment horizontal="general" vertical="bottom"/>
    </xf>
    <xf numFmtId="0" fontId="14" fillId="3" borderId="0" applyAlignment="1" pivotButton="0" quotePrefix="0" xfId="0">
      <alignment horizontal="general" vertical="top" wrapText="1"/>
    </xf>
    <xf numFmtId="0" fontId="10" fillId="3" borderId="0" applyAlignment="1" pivotButton="0" quotePrefix="0" xfId="0">
      <alignment horizontal="general" vertical="bottom"/>
    </xf>
    <xf numFmtId="0" fontId="19" fillId="0" borderId="0" applyAlignment="1" pivotButton="0" quotePrefix="0" xfId="0">
      <alignment horizontal="general" vertical="bottom"/>
    </xf>
    <xf numFmtId="0" fontId="20" fillId="0" borderId="0" applyAlignment="1" pivotButton="0" quotePrefix="0" xfId="0">
      <alignment horizontal="general" vertical="bottom"/>
    </xf>
    <xf numFmtId="0" fontId="21" fillId="0" borderId="0" applyAlignment="1" pivotButton="0" quotePrefix="0" xfId="0">
      <alignment horizontal="general" vertical="top" wrapText="1"/>
    </xf>
    <xf numFmtId="0" fontId="22" fillId="3" borderId="1" applyAlignment="1" pivotButton="0" quotePrefix="0" xfId="0">
      <alignment horizontal="center" vertical="center" wrapText="1"/>
    </xf>
    <xf numFmtId="0" fontId="6" fillId="7" borderId="1" applyAlignment="1" pivotButton="0" quotePrefix="0" xfId="0">
      <alignment horizontal="general" vertical="center"/>
    </xf>
    <xf numFmtId="0" fontId="9" fillId="7" borderId="1" applyAlignment="1" pivotButton="0" quotePrefix="0" xfId="0">
      <alignment horizontal="general" vertical="center"/>
    </xf>
    <xf numFmtId="0" fontId="9" fillId="7" borderId="1" applyAlignment="1" pivotButton="0" quotePrefix="0" xfId="0">
      <alignment horizontal="center" vertical="bottom"/>
    </xf>
    <xf numFmtId="3" fontId="23" fillId="4" borderId="1" applyAlignment="1" pivotButton="0" quotePrefix="0" xfId="0">
      <alignment horizontal="general" vertical="center"/>
    </xf>
    <xf numFmtId="0" fontId="13" fillId="0" borderId="0" applyAlignment="1" pivotButton="0" quotePrefix="0" xfId="0">
      <alignment horizontal="general" vertical="top" wrapText="1"/>
    </xf>
    <xf numFmtId="4" fontId="23" fillId="4" borderId="1" applyAlignment="1" pivotButton="0" quotePrefix="0" xfId="0">
      <alignment horizontal="general" vertical="center"/>
    </xf>
    <xf numFmtId="9" fontId="23" fillId="4" borderId="1" applyAlignment="1" pivotButton="0" quotePrefix="0" xfId="0">
      <alignment horizontal="general" vertical="center"/>
    </xf>
    <xf numFmtId="164" fontId="23" fillId="4" borderId="1" applyAlignment="1" pivotButton="0" quotePrefix="0" xfId="0">
      <alignment horizontal="general" vertical="center"/>
    </xf>
    <xf numFmtId="0" fontId="23" fillId="4" borderId="1" applyAlignment="1" pivotButton="0" quotePrefix="0" xfId="0">
      <alignment horizontal="general" vertical="center"/>
    </xf>
    <xf numFmtId="4" fontId="9" fillId="5" borderId="1" applyAlignment="1" pivotButton="0" quotePrefix="0" xfId="0">
      <alignment horizontal="general" vertical="center"/>
    </xf>
    <xf numFmtId="164" fontId="9" fillId="5" borderId="1" applyAlignment="1" pivotButton="0" quotePrefix="0" xfId="0">
      <alignment horizontal="general" vertical="center"/>
    </xf>
    <xf numFmtId="0" fontId="14" fillId="7" borderId="1" applyAlignment="1" pivotButton="0" quotePrefix="0" xfId="0">
      <alignment horizontal="general" vertical="center"/>
    </xf>
    <xf numFmtId="164" fontId="8" fillId="3" borderId="1" applyAlignment="1" pivotButton="0" quotePrefix="0" xfId="0">
      <alignment horizontal="general" vertical="center"/>
    </xf>
    <xf numFmtId="0" fontId="24" fillId="0" borderId="0" applyAlignment="1" pivotButton="0" quotePrefix="0" xfId="0">
      <alignment horizontal="general" vertical="top" wrapText="1"/>
    </xf>
    <xf numFmtId="0" fontId="10" fillId="0" borderId="0" applyAlignment="1" pivotButton="0" quotePrefix="0" xfId="0">
      <alignment horizontal="general" vertical="top" wrapText="1"/>
    </xf>
    <xf numFmtId="164" fontId="25" fillId="4" borderId="1" applyAlignment="1" pivotButton="0" quotePrefix="0" xfId="0">
      <alignment horizontal="general" vertical="center"/>
    </xf>
    <xf numFmtId="165" fontId="23" fillId="4" borderId="1" applyAlignment="1" pivotButton="0" quotePrefix="0" xfId="0">
      <alignment horizontal="general" vertical="center"/>
    </xf>
    <xf numFmtId="0" fontId="9" fillId="5" borderId="1" applyAlignment="1" pivotButton="0" quotePrefix="0" xfId="0">
      <alignment horizontal="general" vertical="center"/>
    </xf>
    <xf numFmtId="0" fontId="26" fillId="0" borderId="0" applyAlignment="1" pivotButton="0" quotePrefix="0" xfId="0">
      <alignment horizontal="general" vertical="top" wrapText="1"/>
    </xf>
    <xf numFmtId="0" fontId="15" fillId="0" borderId="0" applyAlignment="1" pivotButton="0" quotePrefix="0" xfId="0">
      <alignment horizontal="general" vertical="top" wrapText="1"/>
    </xf>
    <xf numFmtId="0" fontId="28" fillId="7" borderId="1" applyAlignment="1" pivotButton="0" quotePrefix="0" xfId="0">
      <alignment horizontal="general" vertical="center"/>
    </xf>
    <xf numFmtId="164" fontId="14" fillId="5" borderId="1" applyAlignment="1" pivotButton="0" quotePrefix="0" xfId="0">
      <alignment horizontal="general" vertical="center"/>
    </xf>
    <xf numFmtId="0" fontId="24" fillId="0" borderId="0" applyAlignment="1" pivotButton="0" quotePrefix="0" xfId="0">
      <alignment horizontal="general" vertical="top" wrapText="1"/>
    </xf>
    <xf numFmtId="0" fontId="12" fillId="7" borderId="1" applyAlignment="1" pivotButton="0" quotePrefix="0" xfId="0">
      <alignment horizontal="general" vertical="center"/>
    </xf>
    <xf numFmtId="4" fontId="14" fillId="5" borderId="1" applyAlignment="1" pivotButton="0" quotePrefix="0" xfId="0">
      <alignment horizontal="general" vertical="center"/>
    </xf>
    <xf numFmtId="0" fontId="28" fillId="0" borderId="0" applyAlignment="1" pivotButton="0" quotePrefix="0" xfId="0">
      <alignment horizontal="general" vertical="bottom"/>
    </xf>
    <xf numFmtId="3" fontId="9" fillId="5" borderId="1" applyAlignment="1" pivotButton="0" quotePrefix="0" xfId="0">
      <alignment horizontal="center" vertical="bottom"/>
    </xf>
    <xf numFmtId="0" fontId="29" fillId="5" borderId="1" applyAlignment="1" pivotButton="0" quotePrefix="0" xfId="0">
      <alignment horizontal="general" vertical="center"/>
    </xf>
    <xf numFmtId="9" fontId="9" fillId="5" borderId="1" applyAlignment="1" pivotButton="0" quotePrefix="0" xfId="0">
      <alignment horizontal="general" vertical="center"/>
    </xf>
    <xf numFmtId="0" fontId="22" fillId="7" borderId="2" applyAlignment="1" pivotButton="0" quotePrefix="0" xfId="0">
      <alignment horizontal="general" vertical="center"/>
    </xf>
    <xf numFmtId="0" fontId="9" fillId="7" borderId="2" applyAlignment="1" pivotButton="0" quotePrefix="0" xfId="0">
      <alignment horizontal="center" vertical="bottom"/>
    </xf>
    <xf numFmtId="0" fontId="9" fillId="7" borderId="2" applyAlignment="1" pivotButton="0" quotePrefix="0" xfId="0">
      <alignment horizontal="general" vertical="center"/>
    </xf>
    <xf numFmtId="4" fontId="23" fillId="4" borderId="2" applyAlignment="1" pivotButton="0" quotePrefix="0" xfId="0">
      <alignment horizontal="general" vertical="center"/>
    </xf>
    <xf numFmtId="9" fontId="23" fillId="4" borderId="2" applyAlignment="1" pivotButton="0" quotePrefix="0" xfId="0">
      <alignment horizontal="general" vertical="center"/>
    </xf>
    <xf numFmtId="4" fontId="9" fillId="5" borderId="2" applyAlignment="1" pivotButton="0" quotePrefix="0" xfId="0">
      <alignment horizontal="general" vertical="center"/>
    </xf>
    <xf numFmtId="0" fontId="23" fillId="4" borderId="2" applyAlignment="1" pivotButton="0" quotePrefix="0" xfId="0">
      <alignment horizontal="general" vertical="center"/>
    </xf>
    <xf numFmtId="4" fontId="14" fillId="3" borderId="1" applyAlignment="1" pivotButton="0" quotePrefix="0" xfId="0">
      <alignment horizontal="general" vertical="center"/>
    </xf>
    <xf numFmtId="164" fontId="14" fillId="3" borderId="1" applyAlignment="1" pivotButton="0" quotePrefix="0" xfId="0">
      <alignment horizontal="general" vertical="center"/>
    </xf>
    <xf numFmtId="165" fontId="14" fillId="5" borderId="1" applyAlignment="1" pivotButton="0" quotePrefix="0" xfId="0">
      <alignment horizontal="general" vertical="center"/>
    </xf>
    <xf numFmtId="0" fontId="9" fillId="5" borderId="1" applyAlignment="1" pivotButton="0" quotePrefix="0" xfId="0">
      <alignment horizontal="general" vertical="center" wrapText="1"/>
    </xf>
    <xf numFmtId="0" fontId="18" fillId="0" borderId="0" applyAlignment="1" pivotButton="0" quotePrefix="0" xfId="0">
      <alignment horizontal="general" vertical="bottom"/>
    </xf>
    <xf numFmtId="0" fontId="21" fillId="0" borderId="0" applyAlignment="1" pivotButton="0" quotePrefix="0" xfId="0">
      <alignment horizontal="general" vertical="bottom"/>
    </xf>
    <xf numFmtId="0" fontId="30" fillId="0" borderId="0" applyAlignment="1" pivotButton="0" quotePrefix="0" xfId="0">
      <alignment horizontal="general" vertical="bottom"/>
    </xf>
    <xf numFmtId="3" fontId="9" fillId="5" borderId="1" applyAlignment="1" pivotButton="0" quotePrefix="0" xfId="0">
      <alignment horizontal="general" vertical="center"/>
    </xf>
    <xf numFmtId="164" fontId="31" fillId="3" borderId="1" applyAlignment="1" pivotButton="0" quotePrefix="0" xfId="0">
      <alignment horizontal="general" vertical="center"/>
    </xf>
    <xf numFmtId="165" fontId="9" fillId="5" borderId="1" applyAlignment="1" pivotButton="0" quotePrefix="0" xfId="0">
      <alignment horizontal="general" vertical="center"/>
    </xf>
    <xf numFmtId="0" fontId="14" fillId="5" borderId="1" applyAlignment="1" pivotButton="0" quotePrefix="0" xfId="0">
      <alignment horizontal="general" vertical="center"/>
    </xf>
    <xf numFmtId="0" fontId="9" fillId="0" borderId="0" applyAlignment="1" pivotButton="0" quotePrefix="0" xfId="0">
      <alignment horizontal="general" vertical="top" wrapText="1"/>
    </xf>
    <xf numFmtId="0" fontId="20" fillId="0" borderId="0" applyAlignment="1" pivotButton="0" quotePrefix="0" xfId="0">
      <alignment horizontal="general" vertical="bottom"/>
    </xf>
    <xf numFmtId="0" fontId="12" fillId="3" borderId="0" applyAlignment="1" pivotButton="0" quotePrefix="0" xfId="0">
      <alignment horizontal="general" vertical="bottom"/>
    </xf>
    <xf numFmtId="0" fontId="9" fillId="7" borderId="1" applyAlignment="1" pivotButton="0" quotePrefix="0" xfId="0">
      <alignment horizontal="general" vertical="center" wrapText="1"/>
    </xf>
    <xf numFmtId="0" fontId="17" fillId="7" borderId="1" applyAlignment="1" pivotButton="0" quotePrefix="0" xfId="0">
      <alignment horizontal="center" vertical="bottom"/>
    </xf>
    <xf numFmtId="0" fontId="14" fillId="7" borderId="1" applyAlignment="1" pivotButton="0" quotePrefix="0" xfId="0">
      <alignment horizontal="center" vertical="bottom"/>
    </xf>
    <xf numFmtId="0" fontId="15" fillId="7" borderId="1" applyAlignment="1" pivotButton="0" quotePrefix="0" xfId="0">
      <alignment horizontal="center" vertical="bottom"/>
    </xf>
    <xf numFmtId="0" fontId="35" fillId="6" borderId="0" applyAlignment="1" pivotButton="0" quotePrefix="0" xfId="0">
      <alignment horizontal="general" vertical="bottom"/>
    </xf>
    <xf numFmtId="0" fontId="0" fillId="6" borderId="0" applyAlignment="1" pivotButton="0" quotePrefix="0" xfId="0">
      <alignment horizontal="general" vertical="bottom"/>
    </xf>
    <xf numFmtId="0" fontId="15" fillId="6" borderId="0" applyAlignment="1" pivotButton="0" quotePrefix="0" xfId="0">
      <alignment horizontal="general" vertical="top" wrapText="1"/>
    </xf>
    <xf numFmtId="164" fontId="9" fillId="7" borderId="1" applyAlignment="1" pivotButton="0" quotePrefix="0" xfId="0">
      <alignment horizontal="general" vertical="center"/>
    </xf>
    <xf numFmtId="0" fontId="22" fillId="0" borderId="0" applyAlignment="1" pivotButton="0" quotePrefix="0" xfId="0">
      <alignment horizontal="general" vertical="center" wrapText="1"/>
    </xf>
    <xf numFmtId="3" fontId="14" fillId="5" borderId="1" applyAlignment="1" pivotButton="0" quotePrefix="0" xfId="0">
      <alignment horizontal="general" vertical="center"/>
    </xf>
    <xf numFmtId="0" fontId="9" fillId="7" borderId="1" applyAlignment="1" pivotButton="0" quotePrefix="0" xfId="0">
      <alignment horizontal="center" vertical="center"/>
    </xf>
    <xf numFmtId="0" fontId="14" fillId="5" borderId="1" applyAlignment="1" pivotButton="0" quotePrefix="0" xfId="0">
      <alignment horizontal="center" vertical="center"/>
    </xf>
    <xf numFmtId="3" fontId="9" fillId="7" borderId="1" applyAlignment="1" pivotButton="0" quotePrefix="0" xfId="0">
      <alignment horizontal="center" vertical="bottom"/>
    </xf>
    <xf numFmtId="0" fontId="6" fillId="0" borderId="0" applyAlignment="1" pivotButton="0" quotePrefix="0" xfId="0">
      <alignment horizontal="general" vertical="top" wrapText="1"/>
    </xf>
    <xf numFmtId="9" fontId="14" fillId="5" borderId="1" applyAlignment="1" pivotButton="0" quotePrefix="0" xfId="0">
      <alignment horizontal="general" vertical="center"/>
    </xf>
    <xf numFmtId="0" fontId="14" fillId="5" borderId="1" applyAlignment="1" pivotButton="0" quotePrefix="0" xfId="0">
      <alignment horizontal="center" vertical="bottom"/>
    </xf>
    <xf numFmtId="0" fontId="22" fillId="3" borderId="1" applyAlignment="1" pivotButton="0" quotePrefix="0" xfId="0">
      <alignment horizontal="general" vertical="center" wrapText="1"/>
    </xf>
    <xf numFmtId="0" fontId="22" fillId="3" borderId="1" applyAlignment="1" pivotButton="0" quotePrefix="0" xfId="0">
      <alignment horizontal="general" vertical="bottom"/>
    </xf>
    <xf numFmtId="0" fontId="9" fillId="0" borderId="0"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2" borderId="0" applyAlignment="1" pivotButton="0" quotePrefix="0" xfId="0">
      <alignment horizontal="general" vertical="center" indent="1"/>
    </xf>
    <xf numFmtId="0" fontId="0" fillId="2" borderId="0" applyAlignment="1" pivotButton="0" quotePrefix="0" xfId="0">
      <alignment horizontal="general" vertical="bottom"/>
    </xf>
    <xf numFmtId="0" fontId="8" fillId="0" borderId="0" applyAlignment="1" pivotButton="0" quotePrefix="0" xfId="0">
      <alignment horizontal="general" vertical="bottom"/>
    </xf>
    <xf numFmtId="0" fontId="9" fillId="3" borderId="1" applyAlignment="1" pivotButton="0" quotePrefix="0" xfId="0">
      <alignment horizontal="general" vertical="top" wrapText="1"/>
    </xf>
    <xf numFmtId="0" fontId="10" fillId="0" borderId="0" applyAlignment="1" pivotButton="0" quotePrefix="0" xfId="0">
      <alignment horizontal="general" vertical="bottom"/>
    </xf>
    <xf numFmtId="0" fontId="6" fillId="0" borderId="0" applyAlignment="1" pivotButton="0" quotePrefix="0" xfId="0">
      <alignment horizontal="general" vertical="center" wrapText="1"/>
    </xf>
    <xf numFmtId="0" fontId="11" fillId="4" borderId="1" applyAlignment="1" pivotButton="0" quotePrefix="0" xfId="0">
      <alignment horizontal="general" vertical="bottom"/>
    </xf>
    <xf numFmtId="0" fontId="12" fillId="0" borderId="0" applyAlignment="1" pivotButton="0" quotePrefix="0" xfId="0">
      <alignment horizontal="general" vertical="bottom"/>
    </xf>
    <xf numFmtId="0" fontId="13" fillId="0" borderId="0" applyAlignment="1" pivotButton="0" quotePrefix="0" xfId="0">
      <alignment horizontal="general" vertical="top" wrapText="1"/>
    </xf>
    <xf numFmtId="0" fontId="14" fillId="5" borderId="1" applyAlignment="1" pivotButton="0" quotePrefix="0" xfId="0">
      <alignment horizontal="general" vertical="bottom"/>
    </xf>
    <xf numFmtId="0" fontId="15" fillId="6" borderId="1" applyAlignment="1" pivotButton="0" quotePrefix="0" xfId="0">
      <alignment horizontal="general" vertical="bottom"/>
    </xf>
    <xf numFmtId="0" fontId="16" fillId="7" borderId="1" applyAlignment="1" pivotButton="0" quotePrefix="0" xfId="0">
      <alignment horizontal="general" vertical="bottom"/>
    </xf>
    <xf numFmtId="0" fontId="17" fillId="0" borderId="0" applyAlignment="1" pivotButton="0" quotePrefix="0" xfId="0">
      <alignment horizontal="general" vertical="top" wrapText="1"/>
    </xf>
    <xf numFmtId="0" fontId="18" fillId="3" borderId="0" applyAlignment="1" pivotButton="0" quotePrefix="0" xfId="0">
      <alignment horizontal="general" vertical="bottom"/>
    </xf>
    <xf numFmtId="0" fontId="0" fillId="3" borderId="0" applyAlignment="1" pivotButton="0" quotePrefix="0" xfId="0">
      <alignment horizontal="general" vertical="bottom"/>
    </xf>
    <xf numFmtId="0" fontId="14" fillId="3" borderId="0" applyAlignment="1" pivotButton="0" quotePrefix="0" xfId="0">
      <alignment horizontal="general" vertical="top" wrapText="1"/>
    </xf>
    <xf numFmtId="0" fontId="10" fillId="3" borderId="0" applyAlignment="1" pivotButton="0" quotePrefix="0" xfId="0">
      <alignment horizontal="general" vertical="bottom"/>
    </xf>
    <xf numFmtId="0" fontId="19" fillId="0" borderId="0" applyAlignment="1" pivotButton="0" quotePrefix="0" xfId="0">
      <alignment horizontal="general" vertical="bottom"/>
    </xf>
    <xf numFmtId="0" fontId="20" fillId="0" borderId="0" applyAlignment="1" pivotButton="0" quotePrefix="0" xfId="0">
      <alignment horizontal="general" vertical="bottom"/>
    </xf>
    <xf numFmtId="0" fontId="21" fillId="0" borderId="0" applyAlignment="1" pivotButton="0" quotePrefix="0" xfId="0">
      <alignment horizontal="general" vertical="top" wrapText="1"/>
    </xf>
    <xf numFmtId="0" fontId="22" fillId="3" borderId="1" applyAlignment="1" pivotButton="0" quotePrefix="0" xfId="0">
      <alignment horizontal="center" vertical="center" wrapText="1"/>
    </xf>
    <xf numFmtId="0" fontId="6" fillId="7" borderId="1" applyAlignment="1" pivotButton="0" quotePrefix="0" xfId="0">
      <alignment horizontal="general" vertical="center"/>
    </xf>
    <xf numFmtId="0" fontId="9" fillId="7" borderId="1" applyAlignment="1" pivotButton="0" quotePrefix="0" xfId="0">
      <alignment horizontal="general" vertical="center"/>
    </xf>
    <xf numFmtId="0" fontId="9" fillId="7" borderId="1" applyAlignment="1" pivotButton="0" quotePrefix="0" xfId="0">
      <alignment horizontal="center" vertical="bottom"/>
    </xf>
    <xf numFmtId="3" fontId="23" fillId="4" borderId="1" applyAlignment="1" pivotButton="0" quotePrefix="0" xfId="0">
      <alignment horizontal="general" vertical="center"/>
    </xf>
    <xf numFmtId="4" fontId="23" fillId="4" borderId="1" applyAlignment="1" pivotButton="0" quotePrefix="0" xfId="0">
      <alignment horizontal="general" vertical="center"/>
    </xf>
    <xf numFmtId="9" fontId="23" fillId="4" borderId="1" applyAlignment="1" pivotButton="0" quotePrefix="0" xfId="0">
      <alignment horizontal="general" vertical="center"/>
    </xf>
    <xf numFmtId="164" fontId="23" fillId="4" borderId="1" applyAlignment="1" pivotButton="0" quotePrefix="0" xfId="0">
      <alignment horizontal="general" vertical="center"/>
    </xf>
    <xf numFmtId="0" fontId="23" fillId="4" borderId="1" applyAlignment="1" pivotButton="0" quotePrefix="0" xfId="0">
      <alignment horizontal="general" vertical="center"/>
    </xf>
    <xf numFmtId="4" fontId="9" fillId="5" borderId="1" applyAlignment="1" pivotButton="0" quotePrefix="0" xfId="0">
      <alignment horizontal="general" vertical="center"/>
    </xf>
    <xf numFmtId="164" fontId="9" fillId="5" borderId="1" applyAlignment="1" pivotButton="0" quotePrefix="0" xfId="0">
      <alignment horizontal="general" vertical="center"/>
    </xf>
    <xf numFmtId="0" fontId="14" fillId="7" borderId="1" applyAlignment="1" pivotButton="0" quotePrefix="0" xfId="0">
      <alignment horizontal="general" vertical="center"/>
    </xf>
    <xf numFmtId="164" fontId="8" fillId="3" borderId="1" applyAlignment="1" pivotButton="0" quotePrefix="0" xfId="0">
      <alignment horizontal="general" vertical="center"/>
    </xf>
    <xf numFmtId="0" fontId="24" fillId="0" borderId="0" applyAlignment="1" pivotButton="0" quotePrefix="0" xfId="0">
      <alignment horizontal="general" vertical="top" wrapText="1"/>
    </xf>
    <xf numFmtId="0" fontId="10" fillId="0" borderId="0" applyAlignment="1" pivotButton="0" quotePrefix="0" xfId="0">
      <alignment horizontal="general" vertical="top" wrapText="1"/>
    </xf>
    <xf numFmtId="164" fontId="25" fillId="4" borderId="1" applyAlignment="1" pivotButton="0" quotePrefix="0" xfId="0">
      <alignment horizontal="general" vertical="center"/>
    </xf>
    <xf numFmtId="165" fontId="23" fillId="4" borderId="1" applyAlignment="1" pivotButton="0" quotePrefix="0" xfId="0">
      <alignment horizontal="general" vertical="center"/>
    </xf>
    <xf numFmtId="0" fontId="9" fillId="5" borderId="1" applyAlignment="1" pivotButton="0" quotePrefix="0" xfId="0">
      <alignment horizontal="general" vertical="center"/>
    </xf>
    <xf numFmtId="0" fontId="26" fillId="0" borderId="0" applyAlignment="1" pivotButton="0" quotePrefix="0" xfId="0">
      <alignment horizontal="general" vertical="top" wrapText="1"/>
    </xf>
    <xf numFmtId="0" fontId="15" fillId="0" borderId="0" applyAlignment="1" pivotButton="0" quotePrefix="0" xfId="0">
      <alignment horizontal="general" vertical="top" wrapText="1"/>
    </xf>
    <xf numFmtId="0" fontId="28" fillId="7" borderId="1" applyAlignment="1" pivotButton="0" quotePrefix="0" xfId="0">
      <alignment horizontal="general" vertical="center"/>
    </xf>
    <xf numFmtId="164" fontId="14" fillId="5" borderId="1" applyAlignment="1" pivotButton="0" quotePrefix="0" xfId="0">
      <alignment horizontal="general" vertical="center"/>
    </xf>
    <xf numFmtId="0" fontId="12" fillId="7" borderId="1" applyAlignment="1" pivotButton="0" quotePrefix="0" xfId="0">
      <alignment horizontal="general" vertical="center"/>
    </xf>
    <xf numFmtId="4" fontId="14" fillId="5" borderId="1" applyAlignment="1" pivotButton="0" quotePrefix="0" xfId="0">
      <alignment horizontal="general" vertical="center"/>
    </xf>
    <xf numFmtId="0" fontId="28" fillId="0" borderId="0" applyAlignment="1" pivotButton="0" quotePrefix="0" xfId="0">
      <alignment horizontal="general" vertical="bottom"/>
    </xf>
    <xf numFmtId="3" fontId="9" fillId="5" borderId="1" applyAlignment="1" pivotButton="0" quotePrefix="0" xfId="0">
      <alignment horizontal="center" vertical="bottom"/>
    </xf>
    <xf numFmtId="0" fontId="29" fillId="5" borderId="1" applyAlignment="1" pivotButton="0" quotePrefix="0" xfId="0">
      <alignment horizontal="general" vertical="center"/>
    </xf>
    <xf numFmtId="9" fontId="9" fillId="5" borderId="1" applyAlignment="1" pivotButton="0" quotePrefix="0" xfId="0">
      <alignment horizontal="general" vertical="center"/>
    </xf>
    <xf numFmtId="0" fontId="22" fillId="7" borderId="2" applyAlignment="1" pivotButton="0" quotePrefix="0" xfId="0">
      <alignment horizontal="general" vertical="center"/>
    </xf>
    <xf numFmtId="0" fontId="9" fillId="7" borderId="2" applyAlignment="1" pivotButton="0" quotePrefix="0" xfId="0">
      <alignment horizontal="center" vertical="bottom"/>
    </xf>
    <xf numFmtId="0" fontId="9" fillId="7" borderId="2" applyAlignment="1" pivotButton="0" quotePrefix="0" xfId="0">
      <alignment horizontal="general" vertical="center"/>
    </xf>
    <xf numFmtId="4" fontId="23" fillId="4" borderId="2" applyAlignment="1" pivotButton="0" quotePrefix="0" xfId="0">
      <alignment horizontal="general" vertical="center"/>
    </xf>
    <xf numFmtId="9" fontId="23" fillId="4" borderId="2" applyAlignment="1" pivotButton="0" quotePrefix="0" xfId="0">
      <alignment horizontal="general" vertical="center"/>
    </xf>
    <xf numFmtId="4" fontId="9" fillId="5" borderId="2" applyAlignment="1" pivotButton="0" quotePrefix="0" xfId="0">
      <alignment horizontal="general" vertical="center"/>
    </xf>
    <xf numFmtId="0" fontId="23" fillId="4" borderId="2" applyAlignment="1" pivotButton="0" quotePrefix="0" xfId="0">
      <alignment horizontal="general" vertical="center"/>
    </xf>
    <xf numFmtId="4" fontId="14" fillId="3" borderId="1" applyAlignment="1" pivotButton="0" quotePrefix="0" xfId="0">
      <alignment horizontal="general" vertical="center"/>
    </xf>
    <xf numFmtId="164" fontId="14" fillId="3" borderId="1" applyAlignment="1" pivotButton="0" quotePrefix="0" xfId="0">
      <alignment horizontal="general" vertical="center"/>
    </xf>
    <xf numFmtId="165" fontId="14" fillId="5" borderId="1" applyAlignment="1" pivotButton="0" quotePrefix="0" xfId="0">
      <alignment horizontal="general" vertical="center"/>
    </xf>
    <xf numFmtId="0" fontId="9" fillId="5" borderId="1" applyAlignment="1" pivotButton="0" quotePrefix="0" xfId="0">
      <alignment horizontal="general" vertical="center" wrapText="1"/>
    </xf>
    <xf numFmtId="0" fontId="18" fillId="0" borderId="0" applyAlignment="1" pivotButton="0" quotePrefix="0" xfId="0">
      <alignment horizontal="general" vertical="bottom"/>
    </xf>
    <xf numFmtId="0" fontId="21" fillId="0" borderId="0" applyAlignment="1" pivotButton="0" quotePrefix="0" xfId="0">
      <alignment horizontal="general" vertical="bottom"/>
    </xf>
    <xf numFmtId="0" fontId="30" fillId="0" borderId="0" applyAlignment="1" pivotButton="0" quotePrefix="0" xfId="0">
      <alignment horizontal="general" vertical="bottom"/>
    </xf>
    <xf numFmtId="3" fontId="9" fillId="5" borderId="1" applyAlignment="1" pivotButton="0" quotePrefix="0" xfId="0">
      <alignment horizontal="general" vertical="center"/>
    </xf>
    <xf numFmtId="164" fontId="31" fillId="3" borderId="1" applyAlignment="1" pivotButton="0" quotePrefix="0" xfId="0">
      <alignment horizontal="general" vertical="center"/>
    </xf>
    <xf numFmtId="0" fontId="0" fillId="0" borderId="5" pivotButton="0" quotePrefix="0" xfId="0"/>
    <xf numFmtId="0" fontId="0" fillId="0" borderId="6" pivotButton="0" quotePrefix="0" xfId="0"/>
    <xf numFmtId="165" fontId="9" fillId="5" borderId="1" applyAlignment="1" pivotButton="0" quotePrefix="0" xfId="0">
      <alignment horizontal="general" vertical="center"/>
    </xf>
    <xf numFmtId="0" fontId="14" fillId="5" borderId="1" applyAlignment="1" pivotButton="0" quotePrefix="0" xfId="0">
      <alignment horizontal="general" vertical="center"/>
    </xf>
    <xf numFmtId="0" fontId="9" fillId="0" borderId="0" applyAlignment="1" pivotButton="0" quotePrefix="0" xfId="0">
      <alignment horizontal="general" vertical="top" wrapText="1"/>
    </xf>
    <xf numFmtId="0" fontId="12" fillId="3" borderId="0" applyAlignment="1" pivotButton="0" quotePrefix="0" xfId="0">
      <alignment horizontal="general" vertical="bottom"/>
    </xf>
    <xf numFmtId="0" fontId="9" fillId="7" borderId="1" applyAlignment="1" pivotButton="0" quotePrefix="0" xfId="0">
      <alignment horizontal="general" vertical="center" wrapText="1"/>
    </xf>
    <xf numFmtId="0" fontId="17" fillId="7" borderId="1" applyAlignment="1" pivotButton="0" quotePrefix="0" xfId="0">
      <alignment horizontal="center" vertical="bottom"/>
    </xf>
    <xf numFmtId="0" fontId="14" fillId="7" borderId="1" applyAlignment="1" pivotButton="0" quotePrefix="0" xfId="0">
      <alignment horizontal="center" vertical="bottom"/>
    </xf>
    <xf numFmtId="0" fontId="15" fillId="7" borderId="1" applyAlignment="1" pivotButton="0" quotePrefix="0" xfId="0">
      <alignment horizontal="center" vertical="bottom"/>
    </xf>
    <xf numFmtId="0" fontId="35" fillId="6" borderId="0" applyAlignment="1" pivotButton="0" quotePrefix="0" xfId="0">
      <alignment horizontal="general" vertical="bottom"/>
    </xf>
    <xf numFmtId="0" fontId="0" fillId="6" borderId="0" applyAlignment="1" pivotButton="0" quotePrefix="0" xfId="0">
      <alignment horizontal="general" vertical="bottom"/>
    </xf>
    <xf numFmtId="0" fontId="15" fillId="6" borderId="0" applyAlignment="1" pivotButton="0" quotePrefix="0" xfId="0">
      <alignment horizontal="general" vertical="top" wrapText="1"/>
    </xf>
    <xf numFmtId="164" fontId="9" fillId="7" borderId="1" applyAlignment="1" pivotButton="0" quotePrefix="0" xfId="0">
      <alignment horizontal="general" vertical="center"/>
    </xf>
    <xf numFmtId="0" fontId="22" fillId="0" borderId="0" applyAlignment="1" pivotButton="0" quotePrefix="0" xfId="0">
      <alignment horizontal="general" vertical="center" wrapText="1"/>
    </xf>
    <xf numFmtId="3" fontId="14" fillId="5" borderId="1" applyAlignment="1" pivotButton="0" quotePrefix="0" xfId="0">
      <alignment horizontal="general" vertical="center"/>
    </xf>
    <xf numFmtId="0" fontId="9" fillId="7" borderId="1" applyAlignment="1" pivotButton="0" quotePrefix="0" xfId="0">
      <alignment horizontal="center" vertical="center"/>
    </xf>
    <xf numFmtId="0" fontId="14" fillId="5" borderId="1" applyAlignment="1" pivotButton="0" quotePrefix="0" xfId="0">
      <alignment horizontal="center" vertical="center"/>
    </xf>
    <xf numFmtId="3" fontId="9" fillId="7" borderId="1" applyAlignment="1" pivotButton="0" quotePrefix="0" xfId="0">
      <alignment horizontal="center" vertical="bottom"/>
    </xf>
    <xf numFmtId="0" fontId="6" fillId="0" borderId="0" applyAlignment="1" pivotButton="0" quotePrefix="0" xfId="0">
      <alignment horizontal="general" vertical="top" wrapText="1"/>
    </xf>
    <xf numFmtId="9" fontId="14" fillId="5" borderId="1" applyAlignment="1" pivotButton="0" quotePrefix="0" xfId="0">
      <alignment horizontal="general" vertical="center"/>
    </xf>
    <xf numFmtId="0" fontId="14" fillId="5" borderId="1" applyAlignment="1" pivotButton="0" quotePrefix="0" xfId="0">
      <alignment horizontal="center" vertical="bottom"/>
    </xf>
    <xf numFmtId="0" fontId="22" fillId="3" borderId="1" applyAlignment="1" pivotButton="0" quotePrefix="0" xfId="0">
      <alignment horizontal="general" vertical="center" wrapText="1"/>
    </xf>
    <xf numFmtId="0" fontId="22" fillId="3" borderId="1" applyAlignment="1" pivotButton="0" quotePrefix="0" xfId="0">
      <alignment horizontal="general" vertical="bottom"/>
    </xf>
    <xf numFmtId="0" fontId="9" fillId="0" borderId="0"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3">
    <dxf>
      <font>
        <name val="Arial"/>
        <charset val="1"/>
        <family val="0"/>
        <b val="1"/>
        <color rgb="FF0F6B3C"/>
        <sz val="9"/>
      </font>
      <fill>
        <patternFill>
          <bgColor rgb="FFE7F6EE"/>
        </patternFill>
      </fill>
    </dxf>
    <dxf>
      <font>
        <name val="Arial"/>
        <charset val="1"/>
        <family val="0"/>
        <b val="1"/>
        <color rgb="FF8A4B00"/>
        <sz val="9"/>
      </font>
      <fill>
        <patternFill>
          <bgColor rgb="FFFDF0D5"/>
        </patternFill>
      </fill>
    </dxf>
    <dxf>
      <font>
        <name val="Arial"/>
        <charset val="1"/>
        <family val="0"/>
        <b val="1"/>
        <color rgb="FF9B1C1C"/>
        <sz val="9"/>
      </font>
      <fill>
        <patternFill>
          <bgColor rgb="FFFBE3E3"/>
        </patternFill>
      </fill>
    </dxf>
  </dxfs>
  <colors>
    <indexedColors>
      <rgbColor rgb="FF000000"/>
      <rgbColor rgb="FFFFFFFF"/>
      <rgbColor rgb="FFFF0000"/>
      <rgbColor rgb="FF00FF00"/>
      <rgbColor rgb="FF0000FF"/>
      <rgbColor rgb="FFFFFF00"/>
      <rgbColor rgb="FFFF00FF"/>
      <rgbColor rgb="FF00FFFF"/>
      <rgbColor rgb="FF800000"/>
      <rgbColor rgb="FF0F6B3C"/>
      <rgbColor rgb="FF10092B"/>
      <rgbColor rgb="FF808000"/>
      <rgbColor rgb="FF800080"/>
      <rgbColor rgb="FF008080"/>
      <rgbColor rgb="FFF2F6FF"/>
      <rgbColor rgb="FF878787"/>
      <rgbColor rgb="FF9999FF"/>
      <rgbColor rgb="FF8A4B00"/>
      <rgbColor rgb="FFFFFBEA"/>
      <rgbColor rgb="FFE7F6EE"/>
      <rgbColor rgb="FF660066"/>
      <rgbColor rgb="FFFF8080"/>
      <rgbColor rgb="FF0164FF"/>
      <rgbColor rgb="FFD9D9D9"/>
      <rgbColor rgb="FF000080"/>
      <rgbColor rgb="FFFF00FF"/>
      <rgbColor rgb="FFFFFF00"/>
      <rgbColor rgb="FF00FFFF"/>
      <rgbColor rgb="FF800080"/>
      <rgbColor rgb="FF800000"/>
      <rgbColor rgb="FF008080"/>
      <rgbColor rgb="FF0000FF"/>
      <rgbColor rgb="FF00CCFF"/>
      <rgbColor rgb="FFEEF3FD"/>
      <rgbColor rgb="FFDCE4F5"/>
      <rgbColor rgb="FFFDF0D5"/>
      <rgbColor rgb="FF99CCFF"/>
      <rgbColor rgb="FFFF99CC"/>
      <rgbColor rgb="FFCC99FF"/>
      <rgbColor rgb="FFFBE3E3"/>
      <rgbColor rgb="FF1F6BFF"/>
      <rgbColor rgb="FF33CCCC"/>
      <rgbColor rgb="FF99CC00"/>
      <rgbColor rgb="FFFFCC00"/>
      <rgbColor rgb="FFFF9900"/>
      <rgbColor rgb="FFFF6600"/>
      <rgbColor rgb="FF5B6274"/>
      <rgbColor rgb="FF4F81BD"/>
      <rgbColor rgb="FF003366"/>
      <rgbColor rgb="FF4A7EBB"/>
      <rgbColor rgb="FF003300"/>
      <rgbColor rgb="FF333300"/>
      <rgbColor rgb="FF9B1C1C"/>
      <rgbColor rgb="FF993366"/>
      <rgbColor rgb="FF0B4FC4"/>
      <rgbColor rgb="FF24283A"/>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charts/chart1.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800" b="1" strike="noStrike">
                <a:solidFill>
                  <a:srgbClr val="000000"/>
                </a:solidFill>
                <a:uFillTx/>
                <a:latin typeface="Calibri"/>
              </a:rPr>
              <a:t>Top 5 składników wpływu na P&amp;L</a:t>
            </a:r>
          </a:p>
        </rich>
      </tx>
      <overlay val="0"/>
      <spPr>
        <a:noFill xmlns:a="http://schemas.openxmlformats.org/drawingml/2006/main"/>
        <a:ln xmlns:a="http://schemas.openxmlformats.org/drawingml/2006/main" w="0">
          <a:noFill/>
          <a:prstDash val="solid"/>
        </a:ln>
      </spPr>
    </title>
    <plotArea>
      <barChart>
        <barDir val="bar"/>
        <grouping val="clustered"/>
        <varyColors val="0"/>
        <ser>
          <idx val="0"/>
          <order val="0"/>
          <tx>
            <strRef>
              <f>DASHBOARD!C28</f>
              <strCache>
                <ptCount val="1"/>
                <pt idx="0">
                  <v>Kwota bazowa</v>
                </pt>
              </strCache>
            </strRef>
          </tx>
          <spPr>
            <a:solidFill xmlns:a="http://schemas.openxmlformats.org/drawingml/2006/main">
              <a:srgbClr val="4F81BD"/>
            </a:solidFill>
            <a:ln xmlns:a="http://schemas.openxmlformats.org/drawingml/2006/main" w="12600">
              <a:noFill/>
              <a:prstDash val="solid"/>
            </a:ln>
          </spPr>
          <invertIfNegative val="0"/>
          <dLbls>
            <txPr>
              <a:bodyPr xmlns:a="http://schemas.openxmlformats.org/drawingml/2006/main"/>
              <a:lstStyle xmlns:a="http://schemas.openxmlformats.org/drawingml/2006/main"/>
              <a:p xmlns:a="http://schemas.openxmlformats.org/drawingml/2006/main">
                <a:pPr>
                  <a:defRPr sz="1000" b="0" strike="noStrike">
                    <a:uFillTx/>
                    <a:latin typeface="Arial"/>
                  </a:defRPr>
                </a:pPr>
                <a:r>
                  <a:t/>
                </a:r>
              </a:p>
            </txPr>
            <showLegendKey val="0"/>
            <showVal val="0"/>
            <showCatName val="0"/>
            <showSerName val="0"/>
            <showPercent val="0"/>
            <showLeaderLines val="1"/>
          </dLbls>
          <cat>
            <strRef>
              <f>DASHBOARD!$B$29:$B$33</f>
              <strCache>
                <ptCount val="5"/>
                <pt idx="0">
                  <v>Klient / prawo / cyber → gotówka</v>
                </pt>
                <pt idx="1">
                  <v>Dane i odtwarzanie (karta) → gotówka</v>
                </pt>
                <pt idx="2">
                  <v>K11 Inne koszty</v>
                </pt>
                <pt idx="3">
                  <v>K10 Cyber, naruszenie danych, fraud</v>
                </pt>
                <pt idx="4">
                  <v>K9 Klienci, kontrakty, komunikacja</v>
                </pt>
              </strCache>
            </strRef>
          </cat>
          <val>
            <numRef>
              <f>DASHBOARD!$C$29:$C$33</f>
              <numCache>
                <formatCode>#,##0.00" zł"</formatCode>
                <ptCount val="5"/>
                <pt idx="0">
                  <v>0</v>
                </pt>
                <pt idx="1">
                  <v>0</v>
                </pt>
                <pt idx="2">
                  <v>0</v>
                </pt>
                <pt idx="3">
                  <v>0</v>
                </pt>
                <pt idx="4">
                  <v>0</v>
                </pt>
              </numCache>
            </numRef>
          </val>
        </ser>
        <gapWidth val="150"/>
        <overlap val="0"/>
        <axId val="81817582"/>
        <axId val="52579896"/>
      </barChart>
      <catAx>
        <axId val="81817582"/>
        <scaling>
          <orientation val="minMax"/>
        </scaling>
        <delete val="0"/>
        <axPos val="b"/>
        <numFmt formatCode="General"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52579896"/>
        <crosses val="autoZero"/>
        <auto val="1"/>
        <lblAlgn val="ctr"/>
        <lblOffset val="100"/>
        <noMultiLvlLbl val="0"/>
      </catAx>
      <valAx>
        <axId val="52579896"/>
        <scaling>
          <orientation val="minMax"/>
        </scaling>
        <delete val="0"/>
        <axPos val="l"/>
        <majorGridlines>
          <spPr>
            <a:ln xmlns:a="http://schemas.openxmlformats.org/drawingml/2006/main" w="9360">
              <a:solidFill>
                <a:srgbClr val="878787"/>
              </a:solidFill>
              <a:prstDash val="solid"/>
              <a:round/>
            </a:ln>
          </spPr>
        </majorGridlines>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zł</a:t>
                </a:r>
              </a:p>
            </rich>
          </tx>
          <overlay val="0"/>
          <spPr>
            <a:noFill xmlns:a="http://schemas.openxmlformats.org/drawingml/2006/main"/>
            <a:ln xmlns:a="http://schemas.openxmlformats.org/drawingml/2006/main" w="0">
              <a:noFill/>
              <a:prstDash val="solid"/>
            </a:ln>
          </spPr>
        </title>
        <numFmt formatCode="#,##0.00&quot; zł&quot;"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81817582"/>
        <crosses val="autoZero"/>
        <crossBetween val="between"/>
      </valAx>
    </plotArea>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charts/chart2.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800" b="1" strike="noStrike">
                <a:solidFill>
                  <a:srgbClr val="000000"/>
                </a:solidFill>
                <a:uFillTx/>
                <a:latin typeface="Calibri"/>
              </a:rPr>
              <a:t>Koszt narastający w czasie (P&amp;L)</a:t>
            </a:r>
          </a:p>
        </rich>
      </tx>
      <overlay val="0"/>
      <spPr>
        <a:noFill xmlns:a="http://schemas.openxmlformats.org/drawingml/2006/main"/>
        <a:ln xmlns:a="http://schemas.openxmlformats.org/drawingml/2006/main" w="0">
          <a:noFill/>
          <a:prstDash val="solid"/>
        </a:ln>
      </spPr>
    </title>
    <plotArea>
      <lineChart>
        <grouping val="standard"/>
        <varyColors val="0"/>
        <ser>
          <idx val="0"/>
          <order val="0"/>
          <tx>
            <strRef>
              <f>DASHBOARD!C36</f>
              <strCache>
                <ptCount val="1"/>
                <pt idx="0">
                  <v>Koszt P&amp;L</v>
                </pt>
              </strCache>
            </strRef>
          </tx>
          <spPr>
            <a:solidFill xmlns:a="http://schemas.openxmlformats.org/drawingml/2006/main">
              <a:srgbClr val="4A7EBB"/>
            </a:solidFill>
            <a:ln xmlns:a="http://schemas.openxmlformats.org/drawingml/2006/main" w="12600">
              <a:solidFill>
                <a:srgbClr val="4A7EBB"/>
              </a:solidFill>
              <a:prstDash val="solid"/>
              <a:round/>
            </a:ln>
          </spPr>
          <marker>
            <symbol val="none"/>
            <spPr>
              <a:ln xmlns:a="http://schemas.openxmlformats.org/drawingml/2006/main">
                <a:prstDash val="solid"/>
              </a:ln>
            </spPr>
          </marker>
          <dLbls>
            <txPr>
              <a:bodyPr xmlns:a="http://schemas.openxmlformats.org/drawingml/2006/main"/>
              <a:lstStyle xmlns:a="http://schemas.openxmlformats.org/drawingml/2006/main"/>
              <a:p xmlns:a="http://schemas.openxmlformats.org/drawingml/2006/main">
                <a:pPr>
                  <a:defRPr sz="1000" b="0" strike="noStrike">
                    <a:uFillTx/>
                    <a:latin typeface="Arial"/>
                  </a:defRPr>
                </a:pPr>
                <a:r>
                  <a:t/>
                </a:r>
              </a:p>
            </txPr>
            <showLegendKey val="0"/>
            <showVal val="0"/>
            <showCatName val="0"/>
            <showSerName val="0"/>
            <showPercent val="0"/>
            <showLeaderLines val="1"/>
          </dLbls>
          <cat>
            <strRef>
              <f>DASHBOARD!$B$37:$B$43</f>
              <strCache>
                <ptCount val="7"/>
                <pt idx="0">
                  <v>1.00</v>
                </pt>
                <pt idx="1">
                  <v>4.00</v>
                </pt>
                <pt idx="2">
                  <v>8.00</v>
                </pt>
                <pt idx="3">
                  <v>24.00</v>
                </pt>
                <pt idx="4">
                  <v>48.00</v>
                </pt>
                <pt idx="5">
                  <v>None</v>
                </pt>
                <pt idx="6">
                  <v>None</v>
                </pt>
              </strCache>
            </strRef>
          </cat>
          <val>
            <numRef>
              <f>DASHBOARD!$C$37:$C$43</f>
              <numCache>
                <formatCode>#,##0.00" zł"</formatCode>
                <ptCount val="7"/>
                <pt idx="0">
                  <v>0</v>
                </pt>
                <pt idx="1">
                  <v>0</v>
                </pt>
                <pt idx="2">
                  <v>0</v>
                </pt>
                <pt idx="3">
                  <v>0</v>
                </pt>
                <pt idx="4">
                  <v>0</v>
                </pt>
              </numCache>
            </numRef>
          </val>
          <smooth val="1"/>
        </ser>
        <hiLowLines>
          <spPr>
            <a:ln xmlns:a="http://schemas.openxmlformats.org/drawingml/2006/main" w="0">
              <a:noFill/>
              <a:prstDash val="solid"/>
            </a:ln>
          </spPr>
        </hiLowLines>
        <marker val="0"/>
        <axId val="78643960"/>
        <axId val="57228469"/>
      </lineChart>
      <catAx>
        <axId val="78643960"/>
        <scaling>
          <orientation val="minMax"/>
        </scaling>
        <delete val="0"/>
        <axPos val="b"/>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efektywne godziny przestoju</a:t>
                </a:r>
              </a:p>
            </rich>
          </tx>
          <overlay val="0"/>
          <spPr>
            <a:noFill xmlns:a="http://schemas.openxmlformats.org/drawingml/2006/main"/>
            <a:ln xmlns:a="http://schemas.openxmlformats.org/drawingml/2006/main" w="0">
              <a:noFill/>
              <a:prstDash val="solid"/>
            </a:ln>
          </spPr>
        </title>
        <numFmt formatCode="#,##0.00"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57228469"/>
        <crosses val="autoZero"/>
        <auto val="1"/>
        <lblAlgn val="ctr"/>
        <lblOffset val="100"/>
        <noMultiLvlLbl val="0"/>
      </catAx>
      <valAx>
        <axId val="57228469"/>
        <scaling>
          <orientation val="minMax"/>
        </scaling>
        <delete val="0"/>
        <axPos val="l"/>
        <majorGridlines>
          <spPr>
            <a:ln xmlns:a="http://schemas.openxmlformats.org/drawingml/2006/main" w="9360">
              <a:solidFill>
                <a:srgbClr val="878787"/>
              </a:solidFill>
              <a:prstDash val="solid"/>
              <a:round/>
            </a:ln>
          </spPr>
        </majorGridlines>
        <title>
          <tx>
            <rich>
              <a:bodyPr xmlns:a="http://schemas.openxmlformats.org/drawingml/2006/main" rot="-540000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zł</a:t>
                </a:r>
              </a:p>
            </rich>
          </tx>
          <overlay val="0"/>
          <spPr>
            <a:noFill xmlns:a="http://schemas.openxmlformats.org/drawingml/2006/main"/>
            <a:ln xmlns:a="http://schemas.openxmlformats.org/drawingml/2006/main" w="0">
              <a:noFill/>
              <a:prstDash val="solid"/>
            </a:ln>
          </spPr>
        </title>
        <numFmt formatCode="#,##0.00&quot; zł&quot;"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78643960"/>
        <crosses val="autoZero"/>
        <crossBetween val="between"/>
      </valAx>
    </plotArea>
    <plotVisOnly val="1"/>
    <dispBlanksAs val="zero"/>
  </chart>
  <spPr>
    <a:solidFill xmlns:a="http://schemas.openxmlformats.org/drawingml/2006/main">
      <a:srgbClr val="FFFFFF"/>
    </a:solidFill>
    <a:ln xmlns:a="http://schemas.openxmlformats.org/drawingml/2006/main" w="9360">
      <a:solidFill>
        <a:srgbClr val="D9D9D9"/>
      </a:solidFill>
      <a:prstDash val="solid"/>
      <a:round/>
    </a:ln>
  </spPr>
</chartSpace>
</file>

<file path=xl/charts/chart3.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800" b="1" strike="noStrike">
                <a:solidFill>
                  <a:srgbClr val="000000"/>
                </a:solidFill>
                <a:uFillTx/>
                <a:latin typeface="Calibri"/>
              </a:rPr>
              <a:t>Analiza wrażliwości — rozrzut składników</a:t>
            </a:r>
          </a:p>
        </rich>
      </tx>
      <overlay val="0"/>
      <spPr>
        <a:noFill xmlns:a="http://schemas.openxmlformats.org/drawingml/2006/main"/>
        <a:ln xmlns:a="http://schemas.openxmlformats.org/drawingml/2006/main" w="0">
          <a:noFill/>
          <a:prstDash val="solid"/>
        </a:ln>
      </spPr>
    </title>
    <plotArea>
      <barChart>
        <barDir val="bar"/>
        <grouping val="clustered"/>
        <varyColors val="0"/>
        <ser>
          <idx val="0"/>
          <order val="0"/>
          <tx>
            <strRef>
              <f>DASHBOARD!C47</f>
              <strCache>
                <ptCount val="1"/>
                <pt idx="0">
                  <v>Rozrzut (wysoki − niski)</v>
                </pt>
              </strCache>
            </strRef>
          </tx>
          <spPr>
            <a:solidFill xmlns:a="http://schemas.openxmlformats.org/drawingml/2006/main">
              <a:srgbClr val="4F81BD"/>
            </a:solidFill>
            <a:ln xmlns:a="http://schemas.openxmlformats.org/drawingml/2006/main" w="12600">
              <a:noFill/>
              <a:prstDash val="solid"/>
            </a:ln>
          </spPr>
          <invertIfNegative val="0"/>
          <dLbls>
            <txPr>
              <a:bodyPr xmlns:a="http://schemas.openxmlformats.org/drawingml/2006/main"/>
              <a:lstStyle xmlns:a="http://schemas.openxmlformats.org/drawingml/2006/main"/>
              <a:p xmlns:a="http://schemas.openxmlformats.org/drawingml/2006/main">
                <a:pPr>
                  <a:defRPr sz="1000" b="0" strike="noStrike">
                    <a:uFillTx/>
                    <a:latin typeface="Arial"/>
                  </a:defRPr>
                </a:pPr>
                <a:r>
                  <a:t/>
                </a:r>
              </a:p>
            </txPr>
            <showLegendKey val="0"/>
            <showVal val="0"/>
            <showCatName val="0"/>
            <showSerName val="0"/>
            <showPercent val="0"/>
            <showLeaderLines val="1"/>
          </dLbls>
          <cat>
            <strRef>
              <f>DASHBOARD!$B$48:$B$52</f>
              <strCache>
                <ptCount val="5"/>
                <pt idx="0">
                  <v>Klient / prawo / cyber → gotówka</v>
                </pt>
                <pt idx="1">
                  <v>Dane i odtwarzanie (karta) → gotówka</v>
                </pt>
                <pt idx="2">
                  <v>K11 Inne koszty</v>
                </pt>
                <pt idx="3">
                  <v>K10 Cyber, naruszenie danych, fraud</v>
                </pt>
                <pt idx="4">
                  <v>K9 Klienci, kontrakty, komunikacja</v>
                </pt>
              </strCache>
            </strRef>
          </cat>
          <val>
            <numRef>
              <f>DASHBOARD!$C$48:$C$52</f>
              <numCache>
                <formatCode>#,##0.00" zł"</formatCode>
                <ptCount val="5"/>
                <pt idx="0">
                  <v>0</v>
                </pt>
                <pt idx="1">
                  <v>0</v>
                </pt>
                <pt idx="2">
                  <v>0</v>
                </pt>
                <pt idx="3">
                  <v>0</v>
                </pt>
                <pt idx="4">
                  <v>0</v>
                </pt>
              </numCache>
            </numRef>
          </val>
        </ser>
        <gapWidth val="150"/>
        <overlap val="0"/>
        <axId val="73303542"/>
        <axId val="68519271"/>
      </barChart>
      <catAx>
        <axId val="73303542"/>
        <scaling>
          <orientation val="minMax"/>
        </scaling>
        <delete val="0"/>
        <axPos val="b"/>
        <numFmt formatCode="General"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68519271"/>
        <crosses val="autoZero"/>
        <auto val="1"/>
        <lblAlgn val="ctr"/>
        <lblOffset val="100"/>
        <noMultiLvlLbl val="0"/>
      </catAx>
      <valAx>
        <axId val="68519271"/>
        <scaling>
          <orientation val="minMax"/>
        </scaling>
        <delete val="0"/>
        <axPos val="l"/>
        <majorGridlines>
          <spPr>
            <a:ln xmlns:a="http://schemas.openxmlformats.org/drawingml/2006/main" w="9360">
              <a:solidFill>
                <a:srgbClr val="878787"/>
              </a:solidFill>
              <a:prstDash val="solid"/>
              <a:round/>
            </a:ln>
          </spPr>
        </majorGridlines>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zł</a:t>
                </a:r>
              </a:p>
            </rich>
          </tx>
          <overlay val="0"/>
          <spPr>
            <a:noFill xmlns:a="http://schemas.openxmlformats.org/drawingml/2006/main"/>
            <a:ln xmlns:a="http://schemas.openxmlformats.org/drawingml/2006/main" w="0">
              <a:noFill/>
              <a:prstDash val="solid"/>
            </a:ln>
          </spPr>
        </title>
        <numFmt formatCode="#,##0.00&quot; zł&quot;"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
            </a:r>
          </a:p>
        </txPr>
        <crossAx val="73303542"/>
        <crosses val="autoZero"/>
        <crossBetween val="between"/>
      </valAx>
    </plotArea>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comments/comment1.xml><?xml version="1.0" encoding="utf-8"?>
<comments xmlns="http://schemas.openxmlformats.org/spreadsheetml/2006/main">
  <authors>
    <author>NexaIT</author>
  </authors>
  <commentList>
    <comment ref="D18" authorId="0" shapeId="0">
      <text>
        <t>Pełny koszt pracodawcy = wynagrodzenie brutto + składki po stronie pracodawcy + pozostałe narzuty, podzielone przez liczbę godzin pracy.
Składniki narzutu (ZUS, stan na 2026): emerytalna 9,76%, rentowa 6,50%, wypadkowa zmienna (referencyjnie 1,67%), Fundusz Pracy 2,45%, FGŚP 0,10%.
Stopa wypadkowa zależy od PKD i wielkości płatnika — sprawdź własną.</t>
      </text>
    </comment>
  </commentList>
</comments>
</file>

<file path=xl/comments/comment2.xml><?xml version="1.0" encoding="utf-8"?>
<comments xmlns="http://schemas.openxmlformats.org/spreadsheetml/2006/main">
  <authors>
    <author>NexaIT</author>
  </authors>
  <commentList>
    <comment ref="G6" authorId="0" shapeId="0">
      <text>
        <t>Wybierz jedną metodę:
• Przychodowa — przychód/h × marża pokrycia
• Jednostkowa — jednostki/h × marża na jednostkę
• Billable — udział godzin billable × marża na godzinę billable
• Ręczna — wpisujesz wpływ na marżę wprost
• Nie dotyczy — proces bez przychodu; liczona będzie tylko utracona zdolność operacyjna</t>
      </text>
    </comment>
    <comment ref="U6" authorId="0" shapeId="0">
      <text>
        <t>MTPD / MAO — po jakim czasie skutki stają się nieakceptowalne dla organizacji.
RTO — docelowy czas przywrócenia zasobu; powinien być krótszy niż MTPD.
RPO — do jakiego punktu w czasie da się odtworzyć dane (dopuszczalna utrata danych).
Definicje: NIST SP 800-34 Rev.1 (MTD/RTO/RPO), ISO 22301 (MTPD, MBCO).</t>
      </text>
    </comment>
  </commentList>
</comments>
</file>

<file path=xl/comments/comment3.xml><?xml version="1.0" encoding="utf-8"?>
<comments xmlns="http://schemas.openxmlformats.org/spreadsheetml/2006/main">
  <authors>
    <author>NexaIT</author>
  </authors>
  <commentList>
    <comment ref="F7" authorId="0" shapeId="0">
      <text>
        <t>Wybierz JEDNĄ miarę i trzymaj się jej:
• „Zdarzeń na rok” — np. 2 oznacza dwa takie zdarzenia rocznie.
• „Prawdopodobieństwo w roku” — np. 25% oznacza jedno zdarzenie raz na cztery lata.
Mieszanie obu miar zawyża roczną ekspozycję. Karta QA to sprawdza.</t>
      </text>
    </comment>
    <comment ref="G34" authorId="0" shapeId="0">
      <text>
        <t>Utrata wydajności: 100% = proces całkowicie stoi; 40% = zespół pracuje, ale wolniej.
Wydajność obejścia: jaką część pracy ratuje obejście (papier, telefon, druga lokalizacja, tryb offline systemu).
Mnożnik efektywny = czas × utrata wydajności × (1 − wydajność obejścia).</t>
      </text>
    </comment>
  </commentList>
</comments>
</file>

<file path=xl/comments/comment4.xml><?xml version="1.0" encoding="utf-8"?>
<comments xmlns="http://schemas.openxmlformats.org/spreadsheetml/2006/main">
  <authors>
    <author>NexaIT</author>
  </authors>
  <commentList>
    <comment ref="F7" authorId="0" shapeId="0">
      <text>
        <t>GOTÓWKA — pieniądze, które dodatkowo wypłyną z firmy.
P&amp;L — niegotówkowy skutek wyniku (np. odpis zniszczonego materiału).
ZDOLNOŚĆ — opłacony, ale niewykorzystany czas ludzi. NIE wchodzi do P&amp;L.
WARUNKOWA — może wystąpić: Ilość = kwota ekspozycji, Stawka = prawdopodobieństwo.
ODZYSK — potencjalny zwrot. Pokazywany osobno, nigdy nie potrącany od wyniku.</t>
      </text>
    </comment>
    <comment ref="I7" authorId="0" shapeId="0">
      <text>
        <t>Puste pole „niska” lub „wysoka” oznacza, że przyjmujemy wartość bazową. Puste pole bazowe przy „Wchodzi do wyniku = TAK” to BRAK DANYCH — karta QA to zliczy.</t>
      </text>
    </comment>
    <comment ref="R7" authorId="0" shapeId="0">
      <text>
        <t>Grupa wykluczająca: wpisz tę samą etykietę (np. „kara-Klient-A”) w wierszach, które opisują TĘ SAMĄ stratę w różny sposób. Karta QA zgłosi błąd, jeśli więcej niż jeden wiersz z tej samej grupy ma „Wchodzi do wyniku = TAK”.</t>
      </text>
    </comment>
  </commentList>
</comments>
</file>

<file path=xl/comments/comment5.xml><?xml version="1.0" encoding="utf-8"?>
<comments xmlns="http://schemas.openxmlformats.org/spreadsheetml/2006/main">
  <authors>
    <author>NexaIT</author>
  </authors>
  <commentList>
    <comment ref="N8" authorId="0" shapeId="0">
      <text>
        <t>Praca własnych ludzi nad odtworzeniem danych to NORMALNE wynagrodzenie, czyli utracona zdolność operacyjna — nie nowy wydatek. Wybierz GOTÓWKA tylko wtedy, gdy praca odbywa się w nadgodzinach albo wykonuje ją podmiot zewnętrzny.</t>
      </text>
    </comment>
  </commentList>
</comments>
</file>

<file path=xl/comments/comment6.xml><?xml version="1.0" encoding="utf-8"?>
<comments xmlns="http://schemas.openxmlformats.org/spreadsheetml/2006/main">
  <authors>
    <author>NexaIT</author>
  </authors>
  <commentList>
    <comment ref="I9" authorId="0" shapeId="0">
      <text>
        <t>Dla pozycji WARUNKOWA prawdopodobieństwo jest obowiązkowe. Puste pole oznacza wynik 0 i ostrzeżenie na karcie QA — świadomie, żeby nie doliczać ekspozycji „na wszelki wypadek”.
Dla pozycji GOTÓWKA puste pole oznacza 100% (koszt już poniesiony lub pewny).</t>
      </text>
    </comment>
  </commentList>
</comments>
</file>

<file path=xl/comments/comment7.xml><?xml version="1.0" encoding="utf-8"?>
<comments xmlns="http://schemas.openxmlformats.org/spreadsheetml/2006/main">
  <authors>
    <author>NexaIT</author>
  </authors>
  <commentList>
    <comment ref="L8" authorId="0" shapeId="0">
      <text>
        <t>Trzy niezależne dźwignie:
• Redukcja częstotliwości — zdarzenie zachodzi rzadziej (np. redundantne łącze).
• Redukcja czasu przestoju — zdarzenie trwa krócej (np. testowany backup, monitoring, SLA). Działa proporcjonalnie tylko na część kosztu zależną od czasu, czyli na utraconą marżę.
• Redukcja pozostałego wpływu — zmniejsza koszty ryczałtowe (np. tańsze odtworzenie).
Nie zgaduj. Jeśli nie wiesz, zostaw 0% i pokaż to jako lukę danych.</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twoCellAnchor editAs="oneCell">
    <from>
      <col>4</col>
      <colOff>0</colOff>
      <row>1</row>
      <rowOff>0</rowOff>
    </from>
    <to>
      <col>4</col>
      <colOff>1618920</colOff>
      <row>4</row>
      <rowOff>142560</rowOff>
    </to>
    <pic>
      <nvPicPr>
        <cNvPr id="1"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766560" y="190440"/>
          <a:ext cx="1618920" cy="847440"/>
        </a:xfrm>
        <a:prstGeom xmlns:a="http://schemas.openxmlformats.org/drawingml/2006/main" prst="rect">
          <avLst/>
        </a:prstGeom>
        <a:noFill xmlns:a="http://schemas.openxmlformats.org/drawingml/2006/main"/>
        <a:ln xmlns:a="http://schemas.openxmlformats.org/drawingml/2006/main" w="0">
          <a:noFill/>
          <a:prstDash val="solid"/>
        </a:ln>
      </spPr>
    </pic>
    <clientData/>
  </twoCellAnchor>
</wsDr>
</file>

<file path=xl/drawings/drawing2.xml><?xml version="1.0" encoding="utf-8"?>
<wsDr xmlns="http://schemas.openxmlformats.org/drawingml/2006/spreadsheetDrawing">
  <twoCellAnchor editAs="oneCell">
    <from>
      <col>6</col>
      <colOff>0</colOff>
      <row>26</row>
      <rowOff>0</rowOff>
    </from>
    <to>
      <col>11</col>
      <colOff>270720</colOff>
      <row>36</row>
      <rowOff>172440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6</col>
      <colOff>0</colOff>
      <row>35</row>
      <rowOff>0</rowOff>
    </from>
    <to>
      <col>11</col>
      <colOff>270720</colOff>
      <row>45</row>
      <rowOff>200880</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twoCellAnchor editAs="oneCell">
    <from>
      <col>6</col>
      <colOff>0</colOff>
      <row>45</row>
      <rowOff>0</rowOff>
    </from>
    <to>
      <col>11</col>
      <colOff>270720</colOff>
      <row>55</row>
      <rowOff>67320</rowOff>
    </to>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two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0.xml.rels><Relationships xmlns="http://schemas.openxmlformats.org/package/2006/relationships"><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11.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6.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7.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8.xml.rels><Relationships xmlns="http://schemas.openxmlformats.org/package/2006/relationships"><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9.xml.rels><Relationships xmlns="http://schemas.openxmlformats.org/package/2006/relationships"><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sheet1.xml><?xml version="1.0" encoding="utf-8"?>
<worksheet xmlns="http://schemas.openxmlformats.org/spreadsheetml/2006/main">
  <sheetPr filterMode="0">
    <tabColor rgb="FF0164FF"/>
    <outlinePr summaryBelow="1" summaryRight="1"/>
    <pageSetUpPr fitToPage="1"/>
  </sheetPr>
  <dimension ref="A1:E42"/>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 customWidth="1" style="94" min="1" max="1"/>
    <col width="30" customWidth="1" style="94" min="2" max="2"/>
    <col width="34" customWidth="1" style="94" min="3" max="3"/>
    <col width="30" customWidth="1" style="94" min="4" max="4"/>
    <col width="34" customWidth="1" style="94" min="5" max="5"/>
    <col width="2" customWidth="1" style="94" min="6" max="6"/>
  </cols>
  <sheetData>
    <row r="1"/>
    <row r="2" ht="25.5" customHeight="1" s="95">
      <c r="B2" s="96" t="inlineStr">
        <is>
          <t>CALCULATOR OF REAL IT DOWNTIME COSTS</t>
        </is>
      </c>
    </row>
    <row r="3" ht="15" customHeight="1" s="95">
      <c r="B3" s="97" t="inlineStr">
        <is>
          <t>How much does an hour when IT is down really cost your company?</t>
        </is>
      </c>
    </row>
    <row r="4" ht="15" customHeight="1" s="95">
      <c r="B4" s="98" t="inlineStr">
        <is>
          <t>Version 1.0 · methodology from 31/07/2026 · material NexaIT · currency PLN</t>
        </is>
      </c>
    </row>
    <row r="5"/>
    <row r="6" ht="19.5" customHeight="1" s="95">
      <c r="A6" s="99" t="inlineStr">
        <is>
          <t xml:space="preserve">  SELECT OPERATION MODE</t>
        </is>
      </c>
      <c r="B6" s="100" t="n"/>
      <c r="C6" s="100" t="n"/>
      <c r="D6" s="100" t="n"/>
      <c r="E6" s="100" t="n"/>
    </row>
    <row r="7"/>
    <row r="8" ht="15" customHeight="1" s="95">
      <c r="B8" s="101" t="inlineStr">
        <is>
          <t>FAST MODE - Approximately 5 minutes</t>
        </is>
      </c>
      <c r="D8" s="101" t="inlineStr">
        <is>
          <t>ADVANCED MODE - 30-90 minutes</t>
        </is>
      </c>
    </row>
    <row r="9" ht="81.75" customHeight="1" s="95">
      <c r="B9" s="102" t="inlineStr">
        <is>
          <t>11 fields. You get the minimum, defensive cost of one downtime in three variants and a list of what the result does not yet cover. → QUICK RESULT tab</t>
        </is>
      </c>
      <c r="D9" s="102" t="inlineStr">
        <is>
          <t>Full model: company profile, processes, systems, 8 scenarios with 7 phases, 120 cost items, data and recovery, contingent exposures, annual exposure and ROI. → start with the COMPANY PROFILE tab</t>
        </is>
      </c>
    </row>
    <row r="10"/>
    <row r="11"/>
    <row r="12" ht="19.5" customHeight="1" s="95">
      <c r="A12" s="99" t="inlineStr">
        <is>
          <t xml:space="preserve">  WORKBOOK MAP</t>
        </is>
      </c>
      <c r="B12" s="100" t="n"/>
      <c r="C12" s="100" t="n"/>
      <c r="D12" s="100" t="n"/>
      <c r="E12" s="100" t="n"/>
    </row>
    <row r="13"/>
    <row r="14" ht="19.4" customHeight="1" s="95">
      <c r="B14" s="103" t="inlineStr">
        <is>
          <t>FAST RESULT</t>
        </is>
      </c>
      <c r="C14" s="104" t="inlineStr">
        <is>
          <t>minimum defensive cost in 11 fields</t>
        </is>
      </c>
      <c r="D14" s="103" t="inlineStr">
        <is>
          <t>RISK AND ROI</t>
        </is>
      </c>
      <c r="E14" s="104" t="inlineStr">
        <is>
          <t>annual exposure, before/after variant, ROI, payback, recoveries</t>
        </is>
      </c>
    </row>
    <row r="15" ht="19.4" customHeight="1" s="95">
      <c r="B15" s="103" t="inlineStr">
        <is>
          <t>COMPANY PROFILE</t>
        </is>
      </c>
      <c r="C15" s="104" t="inlineStr">
        <is>
          <t>working hours, employer's hourly cost, net/gross basis</t>
        </is>
      </c>
      <c r="D15" s="103" t="inlineStr">
        <is>
          <t>DASHBOARD</t>
        </is>
      </c>
      <c r="E15" s="104" t="inlineStr">
        <is>
          <t>result, range, drivers, time curve, sensitivity</t>
        </is>
      </c>
    </row>
    <row r="16" ht="19.4" customHeight="1" s="95">
      <c r="B16" s="103" t="inlineStr">
        <is>
          <t>PROCESY</t>
        </is>
      </c>
      <c r="C16" s="104" t="inlineStr">
        <is>
          <t>what the company does, how we price the process, MTPD / RTO / RPO</t>
        </is>
      </c>
      <c r="D16" s="103" t="inlineStr">
        <is>
          <t>REPORT 1 PAGE</t>
        </is>
      </c>
      <c r="E16" s="104" t="inlineStr">
        <is>
          <t>ready A4 for printing or PDF</t>
        </is>
      </c>
    </row>
    <row r="17" ht="19.4" customHeight="1" s="95">
      <c r="B17" s="103" t="inlineStr">
        <is>
          <t>SYSTEMS AND DEPENDENCIES</t>
        </is>
      </c>
      <c r="C17" s="104" t="inlineStr">
        <is>
          <t>what depends on what, redundancy, workarounds</t>
        </is>
      </c>
      <c r="D17" s="103" t="inlineStr">
        <is>
          <t>DICTIONARY AND METHODS</t>
        </is>
      </c>
      <c r="E17" s="104" t="inlineStr">
        <is>
          <t>definitions, formulas, double counting warnings</t>
        </is>
      </c>
    </row>
    <row r="18" ht="19.4" customHeight="1" s="95">
      <c r="B18" s="103" t="inlineStr">
        <is>
          <t>SCENARIUSZE</t>
        </is>
      </c>
      <c r="C18" s="104" t="inlineStr">
        <is>
          <t>8 events, 7 phases each, coverage matrix, frequency</t>
        </is>
      </c>
      <c r="D18" s="103" t="inlineStr">
        <is>
          <t>SOURCES AND ASSUMPTIONS</t>
        </is>
      </c>
      <c r="E18" s="104" t="inlineStr">
        <is>
          <t>register of sources and your assumptions</t>
        </is>
      </c>
    </row>
    <row r="19" ht="19.4" customHeight="1" s="95">
      <c r="B19" s="103" t="inlineStr">
        <is>
          <t>SPECIFIC COSTS</t>
        </is>
      </c>
      <c r="C19" s="104" t="inlineStr">
        <is>
          <t>120 items with perspective, source and certainty</t>
        </is>
      </c>
      <c r="D19" s="103" t="inlineStr">
        <is>
          <t>EXAMPLE</t>
        </is>
      </c>
      <c r="E19" s="104" t="inlineStr">
        <is>
          <t>complete fictional example - for illustration purposes only</t>
        </is>
      </c>
    </row>
    <row r="20" ht="19.4" customHeight="1" s="95">
      <c r="B20" s="103" t="inlineStr">
        <is>
          <t>DATA AND PLAYBACK</t>
        </is>
      </c>
      <c r="C20" s="104" t="inlineStr">
        <is>
          <t>RPO, lost records, re-entry</t>
        </is>
      </c>
      <c r="D20" s="103" t="inlineStr">
        <is>
          <t>QA</t>
        </is>
      </c>
      <c r="E20" s="104" t="inlineStr">
        <is>
          <t>automatic checks of the correctness of your data</t>
        </is>
      </c>
    </row>
    <row r="21" ht="19.4" customHeight="1" s="95">
      <c r="B21" s="103" t="inlineStr">
        <is>
          <t>CUSTOMER CYBER LAW</t>
        </is>
      </c>
      <c r="C21" s="104" t="inlineStr">
        <is>
          <t>penalties, compensation, obligations, contingent exposures</t>
        </is>
      </c>
    </row>
    <row r="22"/>
    <row r="23" ht="19.5" customHeight="1" s="95">
      <c r="A23" s="99" t="inlineStr">
        <is>
          <t xml:space="preserve">  LEGEND OF THE FIELDS</t>
        </is>
      </c>
      <c r="B23" s="100" t="n"/>
      <c r="C23" s="100" t="n"/>
      <c r="D23" s="100" t="n"/>
      <c r="E23" s="100" t="n"/>
    </row>
    <row r="24"/>
    <row r="25" ht="15" customHeight="1" s="95">
      <c r="B25" s="105" t="inlineStr">
        <is>
          <t>✎ Field to fill out</t>
        </is>
      </c>
      <c r="C25" s="104" t="inlineStr">
        <is>
          <t>Enter your details.</t>
        </is>
      </c>
      <c r="D25" s="106" t="inlineStr">
        <is>
          <t>THREE NUMBERS, NOT ONE</t>
        </is>
      </c>
    </row>
    <row r="26" ht="27.75" customHeight="1" s="95">
      <c r="B26" s="105" t="inlineStr">
        <is>
          <t>▼ Selection list</t>
        </is>
      </c>
      <c r="C26" s="104" t="inlineStr">
        <is>
          <t>You choose from a ready list.</t>
        </is>
      </c>
      <c r="D26" s="107" t="inlineStr">
        <is>
          <t>We show each result as low / base / high. The range comes only from the ranges you provide. The tool does not add any multipliers from itself.</t>
        </is>
      </c>
    </row>
    <row r="27" ht="15" customHeight="1" s="95">
      <c r="B27" s="108" t="inlineStr">
        <is>
          <t>Σ Calculation result</t>
        </is>
      </c>
      <c r="C27" s="104" t="inlineStr">
        <is>
          <t>Formula. Don't overwrite - you'll lose logic.</t>
        </is>
      </c>
    </row>
    <row r="28" ht="15" customHeight="1" s="95">
      <c r="B28" s="109" t="inlineStr">
        <is>
          <t>! Warning</t>
        </is>
      </c>
      <c r="C28" s="104" t="inlineStr">
        <is>
          <t>Something needs attention. Details on the QA tab.</t>
        </is>
      </c>
      <c r="D28" s="106" t="inlineStr">
        <is>
          <t>FOUR PERSPECTIVES THAT WE DO NOT TOTAL</t>
        </is>
      </c>
    </row>
    <row r="29" ht="27.75" customHeight="1" s="95">
      <c r="B29" s="110" t="inlineStr">
        <is>
          <t>n/a Not applicable</t>
        </is>
      </c>
      <c r="C29" s="104" t="inlineStr">
        <is>
          <t>Module disabled. This does NOT mean "0 PLN".</t>
        </is>
      </c>
      <c r="D29" s="107" t="inlineStr">
        <is>
          <t>Cash · impact on financial result (P&amp;L) · lost operating capacity · contingent exposures. Adding them together would count the same losses twice.</t>
        </is>
      </c>
    </row>
    <row r="30"/>
    <row r="31"/>
    <row r="32" ht="19.5" customHeight="1" s="95">
      <c r="A32" s="99" t="inlineStr">
        <is>
          <t xml:space="preserve">  PRIVACY, LIABILITY AND CONTACT</t>
        </is>
      </c>
      <c r="B32" s="100" t="n"/>
      <c r="C32" s="100" t="n"/>
      <c r="D32" s="100" t="n"/>
      <c r="E32" s="100" t="n"/>
    </row>
    <row r="33"/>
    <row r="34" ht="16.5" customHeight="1" s="95">
      <c r="B34" s="111" t="inlineStr">
        <is>
          <t>Privacy: the file does not connect to the Internet, does not contain macros or tracking links. The data remains in this file on your computer.</t>
        </is>
      </c>
    </row>
    <row r="35"/>
    <row r="36" ht="40.5" customHeight="1" s="95">
      <c r="B36" s="107" t="inlineStr">
        <is>
          <t>The result is an estimation based solely on the data and assumptions entered by the user. It does not constitute an offer, valuation, audit or accounting, legal or insurance advice. The actual impact depends on processes, contracts, taxes, insurance, ability to catch up and the course of the event. Confirm investment decisions with finance, operations, IT and, if necessary, your lawyer or insurer.</t>
        </is>
      </c>
    </row>
    <row r="37"/>
    <row r="38"/>
    <row r="39"/>
    <row r="40" ht="15" customHeight="1" s="95">
      <c r="B40" s="112" t="inlineStr">
        <is>
          <t>Do you want to check where your company can realistically stand?</t>
        </is>
      </c>
      <c r="C40" s="113" t="n"/>
      <c r="D40" s="113" t="n"/>
      <c r="E40" s="113" t="n"/>
    </row>
    <row r="41" ht="30" customHeight="1" s="95">
      <c r="B41" s="114" t="inlineStr">
        <is>
          <t>Schedule a free IT review - 60 minutes, no obligation, with a one-page scorecard. We do not sell subscriptions in advance; we show where the company can stand.</t>
        </is>
      </c>
    </row>
    <row r="42" ht="15" customHeight="1" s="95">
      <c r="B42" s="115" t="inlineStr">
        <is>
          <t>NEXAIT sp. z o.o. · nexait.pl · office@nexait.pl · +48 535 040 361</t>
        </is>
      </c>
      <c r="C42" s="113" t="n"/>
      <c r="D42" s="113" t="n"/>
      <c r="E42" s="113" t="n"/>
    </row>
  </sheetData>
  <mergeCells count="5">
    <mergeCell ref="B41:E41"/>
    <mergeCell ref="D29:E29"/>
    <mergeCell ref="B34:E34"/>
    <mergeCell ref="D26:E26"/>
    <mergeCell ref="B36:E36"/>
  </mergeCell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xl/worksheets/sheet10.xml><?xml version="1.0" encoding="utf-8"?>
<worksheet xmlns="http://schemas.openxmlformats.org/spreadsheetml/2006/main">
  <sheetPr filterMode="0">
    <tabColor rgb="FF0164FF"/>
    <outlinePr summaryBelow="1" summaryRight="1"/>
    <pageSetUpPr fitToPage="1"/>
  </sheetPr>
  <dimension ref="A1:T50"/>
  <sheetViews>
    <sheetView showFormulas="0" showGridLines="0" showRowColHeaders="1" showZeros="1" rightToLeft="0" tabSelected="0" showOutlineSymbols="1" defaultGridColor="1"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baseColWidth="8" defaultColWidth="8.6796875" defaultRowHeight="15" customHeight="0" zeroHeight="0" outlineLevelRow="0"/>
  <cols>
    <col width="8" customWidth="1" style="94" min="1" max="1"/>
    <col width="34" customWidth="1" style="94" min="2" max="2"/>
    <col width="12" customWidth="1" style="94" min="3" max="3"/>
    <col width="22" customWidth="1" style="94" min="4" max="4"/>
    <col width="13" customWidth="1" style="94" min="5" max="5"/>
    <col width="15" customWidth="1" style="94" min="6" max="8"/>
    <col width="16" customWidth="1" style="94" min="9" max="11"/>
    <col width="13" customWidth="1" style="94" min="12" max="13"/>
    <col width="14" customWidth="1" style="94" min="14" max="14"/>
    <col width="16" customWidth="1" style="94" min="15" max="18"/>
    <col width="18" customWidth="1" style="94" min="19" max="19"/>
    <col width="16" customWidth="1" style="94" min="20" max="20"/>
  </cols>
  <sheetData>
    <row r="1" ht="15" customHeight="1" s="95">
      <c r="A1" s="116" t="inlineStr">
        <is>
          <t>NexaIT</t>
        </is>
      </c>
    </row>
    <row r="2" ht="24" customHeight="1" s="95">
      <c r="A2" s="117" t="inlineStr">
        <is>
          <t>Annual risk and profitability of activities</t>
        </is>
      </c>
    </row>
    <row r="3" ht="30" customHeight="1" s="95">
      <c r="A3" s="118" t="inlineStr">
        <is>
          <t>From the cost of one event to the annual exposure and then to the decision: whether the proposed action makes economic sense. Loss avoided is risk reduction, not cash on hand.</t>
        </is>
      </c>
    </row>
    <row r="4"/>
    <row r="5"/>
    <row r="6" ht="19.5" customHeight="1" s="95">
      <c r="A6" s="99" t="inlineStr">
        <is>
          <t xml:space="preserve">  1. ANNUAL EXPOSURE AND EFFECT OF ACTION - PER SCENARIO</t>
        </is>
      </c>
      <c r="B6" s="100" t="n"/>
      <c r="C6" s="100" t="n"/>
      <c r="D6" s="100" t="n"/>
      <c r="E6" s="100" t="n"/>
      <c r="F6" s="100" t="n"/>
      <c r="G6" s="100" t="n"/>
      <c r="H6" s="100" t="n"/>
      <c r="I6" s="100" t="n"/>
      <c r="J6" s="100" t="n"/>
      <c r="K6" s="100" t="n"/>
      <c r="L6" s="100" t="n"/>
      <c r="M6" s="100" t="n"/>
      <c r="N6" s="100" t="n"/>
      <c r="O6" s="100" t="n"/>
      <c r="P6" s="100" t="n"/>
      <c r="Q6" s="100" t="n"/>
      <c r="R6" s="100" t="n"/>
      <c r="S6" s="100" t="n"/>
      <c r="T6" s="100" t="n"/>
    </row>
    <row r="7" ht="42" customHeight="1" s="95">
      <c r="A7" s="119" t="inlineStr">
        <is>
          <t>ID</t>
        </is>
      </c>
      <c r="B7" s="119" t="inlineStr">
        <is>
          <t>Scenario name</t>
        </is>
      </c>
      <c r="C7" s="119" t="inlineStr">
        <is>
          <t>Active</t>
        </is>
      </c>
      <c r="D7" s="119" t="inlineStr">
        <is>
          <t>A measure of frequency</t>
        </is>
      </c>
      <c r="E7" s="119" t="inlineStr">
        <is>
          <t>Freq. base</t>
        </is>
      </c>
      <c r="F7" s="119" t="inlineStr">
        <is>
          <t>P&amp;L Event Cost - Low</t>
        </is>
      </c>
      <c r="G7" s="119" t="inlineStr">
        <is>
          <t>P&amp;L event cost - base</t>
        </is>
      </c>
      <c r="H7" s="119" t="inlineStr">
        <is>
          <t>P&amp;L Event Cost - High</t>
        </is>
      </c>
      <c r="I7" s="119" t="inlineStr">
        <is>
          <t>Annual Loss - Low</t>
        </is>
      </c>
      <c r="J7" s="119" t="inlineStr">
        <is>
          <t>Annual Loss - Base</t>
        </is>
      </c>
      <c r="K7" s="119" t="inlineStr">
        <is>
          <t>Annual loss - high</t>
        </is>
      </c>
      <c r="L7" s="119" t="inlineStr">
        <is>
          <t>Frequency reduction</t>
        </is>
      </c>
      <c r="M7" s="119" t="inlineStr">
        <is>
          <t>Reduce downtime</t>
        </is>
      </c>
      <c r="N7" s="119" t="inlineStr">
        <is>
          <t>Residual influence reduction</t>
        </is>
      </c>
      <c r="O7" s="119" t="inlineStr">
        <is>
          <t>Post-action event cost</t>
        </is>
      </c>
      <c r="P7" s="119" t="inlineStr">
        <is>
          <t>Annual loss after - low</t>
        </is>
      </c>
      <c r="Q7" s="119" t="inlineStr">
        <is>
          <t>Annual loss after - base</t>
        </is>
      </c>
      <c r="R7" s="119" t="inlineStr">
        <is>
          <t>Annual loss after - high</t>
        </is>
      </c>
      <c r="S7" s="119" t="inlineStr">
        <is>
          <t>Annual exposure avoided (baseline)</t>
        </is>
      </c>
      <c r="T7" s="119" t="inlineStr">
        <is>
          <t>Effective H Hours - Base</t>
        </is>
      </c>
    </row>
    <row r="8" ht="19.5" customHeight="1" s="95">
      <c r="A8" s="141" t="inlineStr">
        <is>
          <t>S1</t>
        </is>
      </c>
      <c r="B8" s="145">
        <f>IF('SCENARIOS'!$B$7="","(nienazwany)",'SCENARIOS'!$B$7)</f>
        <v/>
      </c>
      <c r="C8" s="145">
        <f>'SCENARIOS'!$E$7</f>
        <v/>
      </c>
      <c r="D8" s="145">
        <f>'SCENARIOS'!$F$7</f>
        <v/>
      </c>
      <c r="E8" s="128">
        <f>'SCENARIOS'!$H$7</f>
        <v/>
      </c>
      <c r="F8" s="129">
        <f>'SCENARIOS'!$C$128</f>
        <v/>
      </c>
      <c r="G8" s="140">
        <f>'SCENARIOS'!$C$129</f>
        <v/>
      </c>
      <c r="H8" s="129">
        <f>'SCENARIOS'!$C$130</f>
        <v/>
      </c>
      <c r="I8" s="129">
        <f>'SCENARIOS'!$C$139</f>
        <v/>
      </c>
      <c r="J8" s="140">
        <f>'SCENARIOS'!$C$140</f>
        <v/>
      </c>
      <c r="K8" s="129">
        <f>'SCENARIOS'!$C$141</f>
        <v/>
      </c>
      <c r="L8" s="125" t="n"/>
      <c r="M8" s="125" t="n"/>
      <c r="N8" s="125" t="n"/>
      <c r="O8" s="129">
        <f>ROUND('SCENARIOS'!$C$137*(1-IF($M8="",0,$M8))+'SCENARIOS'!$C$138*(1-IF($N8="",0,$N8)),2)</f>
        <v/>
      </c>
      <c r="P8" s="129">
        <f>IFERROR(ROUND(IF($G8=0,0,$I8*($O8/$G8))*(1-IF($L8="",0,$L8)),2),0)</f>
        <v/>
      </c>
      <c r="Q8" s="129">
        <f>IFERROR(ROUND(IF($G8=0,0,$J8*($O8/$G8))*(1-IF($L8="",0,$L8)),2),0)</f>
        <v/>
      </c>
      <c r="R8" s="129">
        <f>IFERROR(ROUND(IF($G8=0,0,$K8*($O8/$G8))*(1-IF($L8="",0,$L8)),2),0)</f>
        <v/>
      </c>
      <c r="S8" s="140">
        <f>ROUND($J8-$Q8,2)</f>
        <v/>
      </c>
      <c r="T8" s="128">
        <f>'SCENARIOS'!$C$95</f>
        <v/>
      </c>
    </row>
    <row r="9" ht="19.5" customHeight="1" s="95">
      <c r="A9" s="141" t="inlineStr">
        <is>
          <t>S2</t>
        </is>
      </c>
      <c r="B9" s="145">
        <f>IF('SCENARIOS'!$B$8="","(nienazwany)",'SCENARIOS'!$B$8)</f>
        <v/>
      </c>
      <c r="C9" s="145">
        <f>'SCENARIOS'!$E$8</f>
        <v/>
      </c>
      <c r="D9" s="145">
        <f>'SCENARIOS'!$F$8</f>
        <v/>
      </c>
      <c r="E9" s="128">
        <f>'SCENARIOS'!$H$8</f>
        <v/>
      </c>
      <c r="F9" s="129">
        <f>'SCENARIOS'!$D$128</f>
        <v/>
      </c>
      <c r="G9" s="140">
        <f>'SCENARIOS'!$D$129</f>
        <v/>
      </c>
      <c r="H9" s="129">
        <f>'SCENARIOS'!$D$130</f>
        <v/>
      </c>
      <c r="I9" s="129">
        <f>'SCENARIOS'!$D$139</f>
        <v/>
      </c>
      <c r="J9" s="140">
        <f>'SCENARIOS'!$D$140</f>
        <v/>
      </c>
      <c r="K9" s="129">
        <f>'SCENARIOS'!$D$141</f>
        <v/>
      </c>
      <c r="L9" s="125" t="n"/>
      <c r="M9" s="125" t="n"/>
      <c r="N9" s="125" t="n"/>
      <c r="O9" s="129">
        <f>ROUND('SCENARIOS'!$D$137*(1-IF($M9="",0,$M9))+'SCENARIOS'!$D$138*(1-IF($N9="",0,$N9)),2)</f>
        <v/>
      </c>
      <c r="P9" s="129">
        <f>IFERROR(ROUND(IF($G9=0,0,$I9*($O9/$G9))*(1-IF($L9="",0,$L9)),2),0)</f>
        <v/>
      </c>
      <c r="Q9" s="129">
        <f>IFERROR(ROUND(IF($G9=0,0,$J9*($O9/$G9))*(1-IF($L9="",0,$L9)),2),0)</f>
        <v/>
      </c>
      <c r="R9" s="129">
        <f>IFERROR(ROUND(IF($G9=0,0,$K9*($O9/$G9))*(1-IF($L9="",0,$L9)),2),0)</f>
        <v/>
      </c>
      <c r="S9" s="140">
        <f>ROUND($J9-$Q9,2)</f>
        <v/>
      </c>
      <c r="T9" s="128">
        <f>'SCENARIOS'!$D$95</f>
        <v/>
      </c>
    </row>
    <row r="10" ht="19.5" customHeight="1" s="95">
      <c r="A10" s="141" t="inlineStr">
        <is>
          <t>S3</t>
        </is>
      </c>
      <c r="B10" s="145">
        <f>IF('SCENARIOS'!$B$9="","(nienazwany)",'SCENARIOS'!$B$9)</f>
        <v/>
      </c>
      <c r="C10" s="145">
        <f>'SCENARIOS'!$E$9</f>
        <v/>
      </c>
      <c r="D10" s="145">
        <f>'SCENARIOS'!$F$9</f>
        <v/>
      </c>
      <c r="E10" s="128">
        <f>'SCENARIOS'!$H$9</f>
        <v/>
      </c>
      <c r="F10" s="129">
        <f>'SCENARIOS'!$E$128</f>
        <v/>
      </c>
      <c r="G10" s="140">
        <f>'SCENARIOS'!$E$129</f>
        <v/>
      </c>
      <c r="H10" s="129">
        <f>'SCENARIOS'!$E$130</f>
        <v/>
      </c>
      <c r="I10" s="129">
        <f>'SCENARIOS'!$E$139</f>
        <v/>
      </c>
      <c r="J10" s="140">
        <f>'SCENARIOS'!$E$140</f>
        <v/>
      </c>
      <c r="K10" s="129">
        <f>'SCENARIOS'!$E$141</f>
        <v/>
      </c>
      <c r="L10" s="125" t="n"/>
      <c r="M10" s="125" t="n"/>
      <c r="N10" s="125" t="n"/>
      <c r="O10" s="129">
        <f>ROUND('SCENARIOS'!$E$137*(1-IF($M10="",0,$M10))+'SCENARIOS'!$E$138*(1-IF($N10="",0,$N10)),2)</f>
        <v/>
      </c>
      <c r="P10" s="129">
        <f>IFERROR(ROUND(IF($G10=0,0,$I10*($O10/$G10))*(1-IF($L10="",0,$L10)),2),0)</f>
        <v/>
      </c>
      <c r="Q10" s="129">
        <f>IFERROR(ROUND(IF($G10=0,0,$J10*($O10/$G10))*(1-IF($L10="",0,$L10)),2),0)</f>
        <v/>
      </c>
      <c r="R10" s="129">
        <f>IFERROR(ROUND(IF($G10=0,0,$K10*($O10/$G10))*(1-IF($L10="",0,$L10)),2),0)</f>
        <v/>
      </c>
      <c r="S10" s="140">
        <f>ROUND($J10-$Q10,2)</f>
        <v/>
      </c>
      <c r="T10" s="128">
        <f>'SCENARIOS'!$E$95</f>
        <v/>
      </c>
    </row>
    <row r="11" ht="19.5" customHeight="1" s="95">
      <c r="A11" s="141" t="inlineStr">
        <is>
          <t>S4</t>
        </is>
      </c>
      <c r="B11" s="145">
        <f>IF('SCENARIOS'!$B$10="","(nienazwany)",'SCENARIOS'!$B$10)</f>
        <v/>
      </c>
      <c r="C11" s="145">
        <f>'SCENARIOS'!$E$10</f>
        <v/>
      </c>
      <c r="D11" s="145">
        <f>'SCENARIOS'!$F$10</f>
        <v/>
      </c>
      <c r="E11" s="128">
        <f>'SCENARIOS'!$H$10</f>
        <v/>
      </c>
      <c r="F11" s="129">
        <f>'SCENARIOS'!$F$128</f>
        <v/>
      </c>
      <c r="G11" s="140">
        <f>'SCENARIOS'!$F$129</f>
        <v/>
      </c>
      <c r="H11" s="129">
        <f>'SCENARIOS'!$F$130</f>
        <v/>
      </c>
      <c r="I11" s="129">
        <f>'SCENARIOS'!$F$139</f>
        <v/>
      </c>
      <c r="J11" s="140">
        <f>'SCENARIOS'!$F$140</f>
        <v/>
      </c>
      <c r="K11" s="129">
        <f>'SCENARIOS'!$F$141</f>
        <v/>
      </c>
      <c r="L11" s="125" t="n"/>
      <c r="M11" s="125" t="n"/>
      <c r="N11" s="125" t="n"/>
      <c r="O11" s="129">
        <f>ROUND('SCENARIOS'!$F$137*(1-IF($M11="",0,$M11))+'SCENARIOS'!$F$138*(1-IF($N11="",0,$N11)),2)</f>
        <v/>
      </c>
      <c r="P11" s="129">
        <f>IFERROR(ROUND(IF($G11=0,0,$I11*($O11/$G11))*(1-IF($L11="",0,$L11)),2),0)</f>
        <v/>
      </c>
      <c r="Q11" s="129">
        <f>IFERROR(ROUND(IF($G11=0,0,$J11*($O11/$G11))*(1-IF($L11="",0,$L11)),2),0)</f>
        <v/>
      </c>
      <c r="R11" s="129">
        <f>IFERROR(ROUND(IF($G11=0,0,$K11*($O11/$G11))*(1-IF($L11="",0,$L11)),2),0)</f>
        <v/>
      </c>
      <c r="S11" s="140">
        <f>ROUND($J11-$Q11,2)</f>
        <v/>
      </c>
      <c r="T11" s="128">
        <f>'SCENARIOS'!$F$95</f>
        <v/>
      </c>
    </row>
    <row r="12" ht="19.5" customHeight="1" s="95">
      <c r="A12" s="141" t="inlineStr">
        <is>
          <t>S5</t>
        </is>
      </c>
      <c r="B12" s="145">
        <f>IF('SCENARIOS'!$B$11="","(nienazwany)",'SCENARIOS'!$B$11)</f>
        <v/>
      </c>
      <c r="C12" s="145">
        <f>'SCENARIOS'!$E$11</f>
        <v/>
      </c>
      <c r="D12" s="145">
        <f>'SCENARIOS'!$F$11</f>
        <v/>
      </c>
      <c r="E12" s="128">
        <f>'SCENARIOS'!$H$11</f>
        <v/>
      </c>
      <c r="F12" s="129">
        <f>'SCENARIOS'!$G$128</f>
        <v/>
      </c>
      <c r="G12" s="140">
        <f>'SCENARIOS'!$G$129</f>
        <v/>
      </c>
      <c r="H12" s="129">
        <f>'SCENARIOS'!$G$130</f>
        <v/>
      </c>
      <c r="I12" s="129">
        <f>'SCENARIOS'!$G$139</f>
        <v/>
      </c>
      <c r="J12" s="140">
        <f>'SCENARIOS'!$G$140</f>
        <v/>
      </c>
      <c r="K12" s="129">
        <f>'SCENARIOS'!$G$141</f>
        <v/>
      </c>
      <c r="L12" s="125" t="n"/>
      <c r="M12" s="125" t="n"/>
      <c r="N12" s="125" t="n"/>
      <c r="O12" s="129">
        <f>ROUND('SCENARIOS'!$G$137*(1-IF($M12="",0,$M12))+'SCENARIOS'!$G$138*(1-IF($N12="",0,$N12)),2)</f>
        <v/>
      </c>
      <c r="P12" s="129">
        <f>IFERROR(ROUND(IF($G12=0,0,$I12*($O12/$G12))*(1-IF($L12="",0,$L12)),2),0)</f>
        <v/>
      </c>
      <c r="Q12" s="129">
        <f>IFERROR(ROUND(IF($G12=0,0,$J12*($O12/$G12))*(1-IF($L12="",0,$L12)),2),0)</f>
        <v/>
      </c>
      <c r="R12" s="129">
        <f>IFERROR(ROUND(IF($G12=0,0,$K12*($O12/$G12))*(1-IF($L12="",0,$L12)),2),0)</f>
        <v/>
      </c>
      <c r="S12" s="140">
        <f>ROUND($J12-$Q12,2)</f>
        <v/>
      </c>
      <c r="T12" s="128">
        <f>'SCENARIOS'!$G$95</f>
        <v/>
      </c>
    </row>
    <row r="13" ht="19.5" customHeight="1" s="95">
      <c r="A13" s="141" t="inlineStr">
        <is>
          <t>S6</t>
        </is>
      </c>
      <c r="B13" s="145">
        <f>IF('SCENARIOS'!$B$12="","(nienazwany)",'SCENARIOS'!$B$12)</f>
        <v/>
      </c>
      <c r="C13" s="145">
        <f>'SCENARIOS'!$E$12</f>
        <v/>
      </c>
      <c r="D13" s="145">
        <f>'SCENARIOS'!$F$12</f>
        <v/>
      </c>
      <c r="E13" s="128">
        <f>'SCENARIOS'!$H$12</f>
        <v/>
      </c>
      <c r="F13" s="129">
        <f>'SCENARIOS'!$H$128</f>
        <v/>
      </c>
      <c r="G13" s="140">
        <f>'SCENARIOS'!$H$129</f>
        <v/>
      </c>
      <c r="H13" s="129">
        <f>'SCENARIOS'!$H$130</f>
        <v/>
      </c>
      <c r="I13" s="129">
        <f>'SCENARIOS'!$H$139</f>
        <v/>
      </c>
      <c r="J13" s="140">
        <f>'SCENARIOS'!$H$140</f>
        <v/>
      </c>
      <c r="K13" s="129">
        <f>'SCENARIOS'!$H$141</f>
        <v/>
      </c>
      <c r="L13" s="125" t="n"/>
      <c r="M13" s="125" t="n"/>
      <c r="N13" s="125" t="n"/>
      <c r="O13" s="129">
        <f>ROUND('SCENARIOS'!$H$137*(1-IF($M13="",0,$M13))+'SCENARIOS'!$H$138*(1-IF($N13="",0,$N13)),2)</f>
        <v/>
      </c>
      <c r="P13" s="129">
        <f>IFERROR(ROUND(IF($G13=0,0,$I13*($O13/$G13))*(1-IF($L13="",0,$L13)),2),0)</f>
        <v/>
      </c>
      <c r="Q13" s="129">
        <f>IFERROR(ROUND(IF($G13=0,0,$J13*($O13/$G13))*(1-IF($L13="",0,$L13)),2),0)</f>
        <v/>
      </c>
      <c r="R13" s="129">
        <f>IFERROR(ROUND(IF($G13=0,0,$K13*($O13/$G13))*(1-IF($L13="",0,$L13)),2),0)</f>
        <v/>
      </c>
      <c r="S13" s="140">
        <f>ROUND($J13-$Q13,2)</f>
        <v/>
      </c>
      <c r="T13" s="128">
        <f>'SCENARIOS'!$H$95</f>
        <v/>
      </c>
    </row>
    <row r="14" ht="19.5" customHeight="1" s="95">
      <c r="A14" s="141" t="inlineStr">
        <is>
          <t>S7</t>
        </is>
      </c>
      <c r="B14" s="145">
        <f>IF('SCENARIOS'!$B$13="","(nienazwany)",'SCENARIOS'!$B$13)</f>
        <v/>
      </c>
      <c r="C14" s="145">
        <f>'SCENARIOS'!$E$13</f>
        <v/>
      </c>
      <c r="D14" s="145">
        <f>'SCENARIOS'!$F$13</f>
        <v/>
      </c>
      <c r="E14" s="128">
        <f>'SCENARIOS'!$H$13</f>
        <v/>
      </c>
      <c r="F14" s="129">
        <f>'SCENARIOS'!$I$128</f>
        <v/>
      </c>
      <c r="G14" s="140">
        <f>'SCENARIOS'!$I$129</f>
        <v/>
      </c>
      <c r="H14" s="129">
        <f>'SCENARIOS'!$I$130</f>
        <v/>
      </c>
      <c r="I14" s="129">
        <f>'SCENARIOS'!$I$139</f>
        <v/>
      </c>
      <c r="J14" s="140">
        <f>'SCENARIOS'!$I$140</f>
        <v/>
      </c>
      <c r="K14" s="129">
        <f>'SCENARIOS'!$I$141</f>
        <v/>
      </c>
      <c r="L14" s="125" t="n"/>
      <c r="M14" s="125" t="n"/>
      <c r="N14" s="125" t="n"/>
      <c r="O14" s="129">
        <f>ROUND('SCENARIOS'!$I$137*(1-IF($M14="",0,$M14))+'SCENARIOS'!$I$138*(1-IF($N14="",0,$N14)),2)</f>
        <v/>
      </c>
      <c r="P14" s="129">
        <f>IFERROR(ROUND(IF($G14=0,0,$I14*($O14/$G14))*(1-IF($L14="",0,$L14)),2),0)</f>
        <v/>
      </c>
      <c r="Q14" s="129">
        <f>IFERROR(ROUND(IF($G14=0,0,$J14*($O14/$G14))*(1-IF($L14="",0,$L14)),2),0)</f>
        <v/>
      </c>
      <c r="R14" s="129">
        <f>IFERROR(ROUND(IF($G14=0,0,$K14*($O14/$G14))*(1-IF($L14="",0,$L14)),2),0)</f>
        <v/>
      </c>
      <c r="S14" s="140">
        <f>ROUND($J14-$Q14,2)</f>
        <v/>
      </c>
      <c r="T14" s="128">
        <f>'SCENARIOS'!$I$95</f>
        <v/>
      </c>
    </row>
    <row r="15" ht="19.5" customHeight="1" s="95">
      <c r="A15" s="141" t="inlineStr">
        <is>
          <t>S8</t>
        </is>
      </c>
      <c r="B15" s="145">
        <f>IF('SCENARIOS'!$B$14="","(nienazwany)",'SCENARIOS'!$B$14)</f>
        <v/>
      </c>
      <c r="C15" s="145">
        <f>'SCENARIOS'!$E$14</f>
        <v/>
      </c>
      <c r="D15" s="145">
        <f>'SCENARIOS'!$F$14</f>
        <v/>
      </c>
      <c r="E15" s="128">
        <f>'SCENARIOS'!$H$14</f>
        <v/>
      </c>
      <c r="F15" s="129">
        <f>'SCENARIOS'!$J$128</f>
        <v/>
      </c>
      <c r="G15" s="140">
        <f>'SCENARIOS'!$J$129</f>
        <v/>
      </c>
      <c r="H15" s="129">
        <f>'SCENARIOS'!$J$130</f>
        <v/>
      </c>
      <c r="I15" s="129">
        <f>'SCENARIOS'!$J$139</f>
        <v/>
      </c>
      <c r="J15" s="140">
        <f>'SCENARIOS'!$J$140</f>
        <v/>
      </c>
      <c r="K15" s="129">
        <f>'SCENARIOS'!$J$141</f>
        <v/>
      </c>
      <c r="L15" s="125" t="n"/>
      <c r="M15" s="125" t="n"/>
      <c r="N15" s="125" t="n"/>
      <c r="O15" s="129">
        <f>ROUND('SCENARIOS'!$J$137*(1-IF($M15="",0,$M15))+'SCENARIOS'!$J$138*(1-IF($N15="",0,$N15)),2)</f>
        <v/>
      </c>
      <c r="P15" s="129">
        <f>IFERROR(ROUND(IF($G15=0,0,$I15*($O15/$G15))*(1-IF($L15="",0,$L15)),2),0)</f>
        <v/>
      </c>
      <c r="Q15" s="129">
        <f>IFERROR(ROUND(IF($G15=0,0,$J15*($O15/$G15))*(1-IF($L15="",0,$L15)),2),0)</f>
        <v/>
      </c>
      <c r="R15" s="129">
        <f>IFERROR(ROUND(IF($G15=0,0,$K15*($O15/$G15))*(1-IF($L15="",0,$L15)),2),0)</f>
        <v/>
      </c>
      <c r="S15" s="140">
        <f>ROUND($J15-$Q15,2)</f>
        <v/>
      </c>
      <c r="T15" s="128">
        <f>'SCENARIOS'!$J$95</f>
        <v/>
      </c>
    </row>
    <row r="16"/>
    <row r="17"/>
    <row r="18" ht="19.5" customHeight="1" s="95">
      <c r="A18" s="99" t="inlineStr">
        <is>
          <t xml:space="preserve">  2. RISK MITIGATION ACTIONS</t>
        </is>
      </c>
      <c r="B18" s="100" t="n"/>
      <c r="C18" s="100" t="n"/>
      <c r="D18" s="100" t="n"/>
      <c r="E18" s="100" t="n"/>
      <c r="F18" s="100" t="n"/>
      <c r="G18" s="100" t="n"/>
      <c r="H18" s="100" t="n"/>
      <c r="I18" s="100" t="n"/>
      <c r="J18" s="100" t="n"/>
      <c r="K18" s="100" t="n"/>
      <c r="L18" s="100" t="n"/>
      <c r="M18" s="100" t="n"/>
      <c r="N18" s="100" t="n"/>
      <c r="O18" s="100" t="n"/>
      <c r="P18" s="100" t="n"/>
      <c r="Q18" s="100" t="n"/>
      <c r="R18" s="100" t="n"/>
      <c r="S18" s="100" t="n"/>
      <c r="T18" s="100" t="n"/>
    </row>
    <row r="19" ht="21.75" customHeight="1" s="95">
      <c r="A19" s="119" t="n"/>
      <c r="B19" s="119" t="inlineStr">
        <is>
          <t>Measure</t>
        </is>
      </c>
      <c r="C19" s="119" t="inlineStr">
        <is>
          <t>Unit</t>
        </is>
      </c>
      <c r="D19" s="119" t="inlineStr">
        <is>
          <t>Value</t>
        </is>
      </c>
      <c r="E19" s="119" t="n"/>
      <c r="F19" s="119" t="inlineStr">
        <is>
          <t>Comment</t>
        </is>
      </c>
    </row>
    <row r="20" ht="19.5" customHeight="1" s="95">
      <c r="B20" s="121" t="inlineStr">
        <is>
          <t>Name of the action being considered</t>
        </is>
      </c>
      <c r="C20" s="122" t="inlineStr">
        <is>
          <t>—</t>
        </is>
      </c>
      <c r="D20" s="127" t="n"/>
      <c r="F20" s="104" t="inlineStr">
        <is>
          <t>Name the specific action, e.g. "redundant link plus tested offsite backup".</t>
        </is>
      </c>
    </row>
    <row r="21" ht="19.5" customHeight="1" s="95">
      <c r="B21" s="121" t="inlineStr">
        <is>
          <t>One-time cost (implementation)</t>
        </is>
      </c>
      <c r="C21" s="122" t="inlineStr">
        <is>
          <t>PLN</t>
        </is>
      </c>
      <c r="D21" s="126" t="n"/>
      <c r="F21" s="104" t="inlineStr">
        <is>
          <t>Purchase, implementation, migration - one time.</t>
        </is>
      </c>
    </row>
    <row r="22" ht="19.5" customHeight="1" s="95">
      <c r="B22" s="121" t="inlineStr">
        <is>
          <t>Annual maintenance cost</t>
        </is>
      </c>
      <c r="C22" s="122" t="inlineStr">
        <is>
          <t>PLN</t>
        </is>
      </c>
      <c r="D22" s="126" t="n"/>
      <c r="F22" s="104" t="inlineStr">
        <is>
          <t>Subscriptions, licenses, maintenance, recovery tests - annually.</t>
        </is>
      </c>
    </row>
    <row r="23" ht="19.5" customHeight="1" s="95">
      <c r="B23" s="121" t="inlineStr">
        <is>
          <t>Annual Exposure Avoided - Low</t>
        </is>
      </c>
      <c r="C23" s="122" t="inlineStr">
        <is>
          <t>PLN/year</t>
        </is>
      </c>
      <c r="D23" s="129">
        <f>ROUND(SUM($I$8:$I$15)-SUM($P$8:$P$15),2)</f>
        <v/>
      </c>
    </row>
    <row r="24" ht="19.5" customHeight="1" s="95">
      <c r="B24" s="130" t="inlineStr">
        <is>
          <t>Annual Exposure Avoided - Baseline</t>
        </is>
      </c>
      <c r="C24" s="122" t="inlineStr">
        <is>
          <t>PLN/year</t>
        </is>
      </c>
      <c r="D24" s="140">
        <f>ROUND(SUM($J$8:$J$15)-SUM($Q$8:$Q$15),2)</f>
        <v/>
      </c>
    </row>
    <row r="25" ht="19.5" customHeight="1" s="95">
      <c r="B25" s="121" t="inlineStr">
        <is>
          <t>Annual Exposure Avoided - High</t>
        </is>
      </c>
      <c r="C25" s="122" t="inlineStr">
        <is>
          <t>PLN/year</t>
        </is>
      </c>
      <c r="D25" s="129">
        <f>ROUND(SUM($K$8:$K$15)-SUM($R$8:$R$15),2)</f>
        <v/>
      </c>
    </row>
    <row r="26" ht="19.5" customHeight="1" s="95">
      <c r="B26" s="130" t="inlineStr">
        <is>
          <t>Year 1 net effect (baseline)</t>
        </is>
      </c>
      <c r="C26" s="122" t="inlineStr">
        <is>
          <t>PLN</t>
        </is>
      </c>
      <c r="D26" s="140">
        <f>ROUND($D$24-IF($D$21="",0,$D$21)-IF($D$22="",0,$D$22),2)</f>
        <v/>
      </c>
      <c r="F26" s="104" t="inlineStr">
        <is>
          <t>Exposure avoided minus one-time cost minus 1st year maintenance.</t>
        </is>
      </c>
    </row>
    <row r="27" ht="19.5" customHeight="1" s="95">
      <c r="B27" s="130" t="inlineStr">
        <is>
          <t>Year 1 ROI (baseline)</t>
        </is>
      </c>
      <c r="C27" s="122" t="inlineStr">
        <is>
          <t>%</t>
        </is>
      </c>
      <c r="D27" s="156">
        <f>IF(IF($D$21="",0,$D$21)+IF($D$22="",0,$D$22)=0,"nie dotyczy — brak kosztu działania",ROUND($D$26/(IF($D$21="",0,$D$21)+IF($D$22="",0,$D$22)),4))</f>
        <v/>
      </c>
    </row>
    <row r="28" ht="19.5" customHeight="1" s="95">
      <c r="B28" s="130" t="inlineStr">
        <is>
          <t>Net run-rate effect (base)</t>
        </is>
      </c>
      <c r="C28" s="122" t="inlineStr">
        <is>
          <t>PLN/year</t>
        </is>
      </c>
      <c r="D28" s="140">
        <f>ROUND($D$24-IF($D$22="",0,$D$22),2)</f>
        <v/>
      </c>
      <c r="F28" s="104" t="inlineStr">
        <is>
          <t>Stabilized status: exposure avoided minus annual maintenance.</t>
        </is>
      </c>
    </row>
    <row r="29" ht="19.5" customHeight="1" s="95">
      <c r="B29" s="130" t="inlineStr">
        <is>
          <t>ROI run-rate (baseline)</t>
        </is>
      </c>
      <c r="C29" s="122" t="inlineStr">
        <is>
          <t>%</t>
        </is>
      </c>
      <c r="D29" s="156">
        <f>IF(IF($D$22="",0,$D$22)=0,"nie dotyczy — brak kosztu utrzymania",ROUND($D$28/IF($D$22="",0,$D$22),4))</f>
        <v/>
      </c>
    </row>
    <row r="30" ht="19.5" customHeight="1" s="95">
      <c r="B30" s="130" t="inlineStr">
        <is>
          <t>Return period</t>
        </is>
      </c>
      <c r="C30" s="122" t="inlineStr">
        <is>
          <t>months</t>
        </is>
      </c>
      <c r="D30" s="142">
        <f>IF($D$28&lt;=0,"nie zwraca się w tym modelu",IF(IF($D$21="",0,$D$21)=0,"natychmiast — brak kosztu jednorazowego",ROUND(IF($D$21="",0,$D$21)/($D$28/12),1)))</f>
        <v/>
      </c>
    </row>
    <row r="31" ht="30" customHeight="1" s="95">
      <c r="B31" s="121" t="inlineStr">
        <is>
          <t>Message</t>
        </is>
      </c>
      <c r="C31" s="122" t="inlineStr">
        <is>
          <t>—</t>
        </is>
      </c>
      <c r="D31" s="157">
        <f>IF(SUM($J$8:$J$15)=0,"Brak danych — uzupełnij częstotliwość i koszt zdarzenia.",IF($D$26&gt;0,"Działanie zwraca się już w pierwszym roku w wariancie bazowym.",IF($D$28&gt;0,"Nie zwraca się w 1. roku, ale ma dodatni efekt w stanie ustabilizowanym.","W wariancie bazowym działanie się nie zwraca. Sprawdź wariant wysoki i założenia redukcji.")))</f>
        <v/>
      </c>
    </row>
    <row r="32"/>
    <row r="33" ht="43.5" customHeight="1" s="95">
      <c r="B33" s="138" t="inlineStr">
        <is>
          <t>WARNING: Annual Loss Avoided is not a cash saving and will not appear on your bank statement. This is the expected value of reduced risk given your own assumptions about frequency and impact. Changing the frequency assumption changes the result linearly. No action can guarantee that downtime will not occur.</t>
        </is>
      </c>
    </row>
    <row r="34"/>
    <row r="35"/>
    <row r="36" ht="19.5" customHeight="1" s="95">
      <c r="A36" s="99" t="inlineStr">
        <is>
          <t xml:space="preserve">  3. POTENTIAL RECOVERY - INSURANCE AND SLA CREDITS</t>
        </is>
      </c>
      <c r="B36" s="100" t="n"/>
      <c r="C36" s="100" t="n"/>
      <c r="D36" s="100" t="n"/>
      <c r="E36" s="100" t="n"/>
      <c r="F36" s="100" t="n"/>
      <c r="G36" s="100" t="n"/>
      <c r="H36" s="100" t="n"/>
      <c r="I36" s="100" t="n"/>
      <c r="J36" s="100" t="n"/>
      <c r="K36" s="100" t="n"/>
      <c r="L36" s="100" t="n"/>
      <c r="M36" s="100" t="n"/>
      <c r="N36" s="100" t="n"/>
      <c r="O36" s="100" t="n"/>
      <c r="P36" s="100" t="n"/>
      <c r="Q36" s="100" t="n"/>
      <c r="R36" s="100" t="n"/>
      <c r="S36" s="100" t="n"/>
      <c r="T36" s="100" t="n"/>
    </row>
    <row r="37" ht="21.75" customHeight="1" s="95">
      <c r="A37" s="119" t="n"/>
      <c r="B37" s="119" t="inlineStr">
        <is>
          <t>Parameter</t>
        </is>
      </c>
      <c r="C37" s="119" t="inlineStr">
        <is>
          <t>Unit</t>
        </is>
      </c>
      <c r="D37" s="119" t="inlineStr">
        <is>
          <t>Value</t>
        </is>
      </c>
      <c r="E37" s="119" t="n"/>
      <c r="F37" s="119" t="inlineStr">
        <is>
          <t>Comment</t>
        </is>
      </c>
    </row>
    <row r="38" ht="19.5" customHeight="1" s="95">
      <c r="B38" s="121" t="inlineStr">
        <is>
          <t>Is there a BI/cyber policy?</t>
        </is>
      </c>
      <c r="C38" s="122" t="inlineStr">
        <is>
          <t>—</t>
        </is>
      </c>
      <c r="D38" s="127" t="n"/>
      <c r="F38" s="104" t="inlineStr">
        <is>
          <t>If NO - recovery is 0 and is shown as such.</t>
        </is>
      </c>
    </row>
    <row r="39" ht="19.5" customHeight="1" s="95">
      <c r="B39" s="121" t="inlineStr">
        <is>
          <t>Reference scenario</t>
        </is>
      </c>
      <c r="C39" s="122" t="inlineStr">
        <is>
          <t>—</t>
        </is>
      </c>
      <c r="D39" s="127" t="n"/>
    </row>
    <row r="40" ht="19.5" customHeight="1" s="95">
      <c r="B40" s="121" t="inlineStr">
        <is>
          <t>Limit of liability</t>
        </is>
      </c>
      <c r="C40" s="122" t="inlineStr">
        <is>
          <t>PLN</t>
        </is>
      </c>
      <c r="D40" s="126" t="n"/>
    </row>
    <row r="41" ht="19.5" customHeight="1" s="95">
      <c r="B41" s="121" t="inlineStr">
        <is>
          <t>Own contribution (deductible)</t>
        </is>
      </c>
      <c r="C41" s="122" t="inlineStr">
        <is>
          <t>PLN</t>
        </is>
      </c>
      <c r="D41" s="126" t="n"/>
    </row>
    <row r="42" ht="19.5" customHeight="1" s="95">
      <c r="B42" s="121" t="inlineStr">
        <is>
          <t>Waiting period</t>
        </is>
      </c>
      <c r="C42" s="122" t="inlineStr">
        <is>
          <t>h</t>
        </is>
      </c>
      <c r="D42" s="124" t="n"/>
      <c r="F42" s="104" t="inlineStr">
        <is>
          <t>Works like a time franchise: the first hours of downtime stay with you.</t>
        </is>
      </c>
    </row>
    <row r="43" ht="33.75" customHeight="1" s="95">
      <c r="B43" s="121" t="inlineStr">
        <is>
          <t>Waiting period model</t>
        </is>
      </c>
      <c r="C43" s="122" t="inlineStr">
        <is>
          <t>—</t>
        </is>
      </c>
      <c r="D43" s="127" t="n"/>
      <c r="F43" s="104" t="inlineStr">
        <is>
          <t>Term deductible - coverage only after the period has expired. Retroactive trigger - once the period is exceeded, the entire event is covered. Check the content of your own policy.</t>
        </is>
      </c>
    </row>
    <row r="44" ht="19.5" customHeight="1" s="95">
      <c r="B44" s="121" t="inlineStr">
        <is>
          <t>Probability of payout</t>
        </is>
      </c>
      <c r="C44" s="122" t="inlineStr">
        <is>
          <t>%</t>
        </is>
      </c>
      <c r="D44" s="125" t="n"/>
    </row>
    <row r="45" ht="19.5" customHeight="1" s="95">
      <c r="B45" s="121" t="inlineStr">
        <is>
          <t>Expected withdrawal delay</t>
        </is>
      </c>
      <c r="C45" s="122" t="inlineStr">
        <is>
          <t>days</t>
        </is>
      </c>
      <c r="D45" s="124" t="n"/>
    </row>
    <row r="46" ht="19.5" customHeight="1" s="95">
      <c r="B46" s="121" t="inlineStr">
        <is>
          <t>Eligible loss (basic)</t>
        </is>
      </c>
      <c r="C46" s="122" t="inlineStr">
        <is>
          <t>PLN</t>
        </is>
      </c>
      <c r="D46" s="129">
        <f>IFERROR(IF($D$38&lt;&gt;"TAK",0,IF(INDEX($T$8:$T$15,MATCH($D$39,$A$8:$A$15,0))&lt;=0,0,IF($D$43="Trigger działający wstecz",IF(INDEX($T$8:$T$15,MATCH($D$39,$A$8:$A$15,0))&gt;=IF($D$42="",0,$D$42),INDEX($G$8:$G$15,MATCH($D$39,$A$8:$A$15,0)),0),ROUND(INDEX($G$8:$G$15,MATCH($D$39,$A$8:$A$15,0))*MAX(0,(INDEX($T$8:$T$15,MATCH($D$39,$A$8:$A$15,0))-IF($D$42="",0,$D$42))/INDEX($T$8:$T$15,MATCH($D$39,$A$8:$A$15,0))),2)))),0)</f>
        <v/>
      </c>
    </row>
    <row r="47" ht="19.5" customHeight="1" s="95">
      <c r="B47" s="130" t="inlineStr">
        <is>
          <t>Expected recovery (baseline)</t>
        </is>
      </c>
      <c r="C47" s="122" t="inlineStr">
        <is>
          <t>PLN</t>
        </is>
      </c>
      <c r="D47" s="140">
        <f>IFERROR(ROUND(MAX(0,MIN(IF($D$40="",0,$D$40),$D$46-IF($D$41="",0,$D$41)))*IF($D$44="",0,$D$44),2),0)</f>
        <v/>
      </c>
      <c r="F47" s="104" t="inlineStr">
        <is>
          <t>Recovery is NEVER subtracted from the base result. It's a separate, precarious position.</t>
        </is>
      </c>
    </row>
    <row r="48" ht="19.5" customHeight="1" s="95">
      <c r="B48" s="121" t="inlineStr">
        <is>
          <t>Cost of financing recovery delay</t>
        </is>
      </c>
      <c r="C48" s="122" t="inlineStr">
        <is>
          <t>PLN</t>
        </is>
      </c>
      <c r="D48" s="129">
        <f>IFERROR(ROUND($D$47*IF($D$45="",0,$D$45)/365*IF('COMPANY PROFILE'!$D$25="",0,'COMPANY PROFILE'!$D$25),2),0)</f>
        <v/>
      </c>
      <c r="F48" s="104" t="inlineStr">
        <is>
          <t>Calculated from the PF-19 rate from the COMPANY PROFILE card.</t>
        </is>
      </c>
    </row>
    <row r="49"/>
    <row r="50" ht="52.5" customHeight="1" s="95">
      <c r="B50" s="107" t="inlineStr">
        <is>
          <t>The result is an estimation based solely on the data and assumptions entered by the user. It does not constitute an offer, valuation, audit or accounting, legal or insurance advice. The actual impact depends on processes, contracts, taxes, insurance, ability to catch up and the course of the event. Confirm investment decisions with finance, operations, IT and, if necessary, your lawyer or insurer.</t>
        </is>
      </c>
    </row>
  </sheetData>
  <mergeCells count="4">
    <mergeCell ref="B50:F50"/>
    <mergeCell ref="B33:F33"/>
    <mergeCell ref="A3:J3"/>
    <mergeCell ref="A2:J2"/>
  </mergeCells>
  <dataValidations count="7">
    <dataValidation sqref="L8:N15" showDropDown="0" showInputMessage="0" showErrorMessage="0" allowBlank="1" errorTitle="Procent poza zakresem" error="Redukcja od 0% do 100%." type="decimal" errorStyle="stop" operator="between">
      <formula1>0</formula1>
      <formula2>1</formula2>
    </dataValidation>
    <dataValidation sqref="D21:D22" showDropDown="0" showInputMessage="0" showErrorMessage="0" allowBlank="1" errorTitle="Wartość nieprawidłowa" error="Podaj liczbę nie mniejszą niż 0." type="decimal" errorStyle="stop" operator="greaterThanOrEqual">
      <formula1>0</formula1>
      <formula2>0</formula2>
    </dataValidation>
    <dataValidation sqref="D38" showDropDown="0" showInputMessage="0" showErrorMessage="0" allowBlank="1" errorTitle="Wartość spoza listy" error="Wybierz wartość z listy." type="list" errorStyle="stop" operator="between">
      <formula1>'LISTY POMOCNICZE'!$I$8:$I$9</formula1>
      <formula2>0</formula2>
    </dataValidation>
    <dataValidation sqref="D39" showDropDown="0" showInputMessage="0" showErrorMessage="0" allowBlank="1" errorTitle="Wartość spoza listy" error="Wybierz wartość z listy." type="list" errorStyle="stop" operator="between">
      <formula1>'LISTY POMOCNICZE'!$L$8:$L$15</formula1>
      <formula2>0</formula2>
    </dataValidation>
    <dataValidation sqref="D43" showDropDown="0" showInputMessage="0" showErrorMessage="0" allowBlank="1" errorTitle="Wartość spoza listy" error="Wybierz wartość z listy." type="list" errorStyle="stop" operator="between">
      <formula1>'LISTY POMOCNICZE'!$U$8:$U$9</formula1>
      <formula2>0</formula2>
    </dataValidation>
    <dataValidation sqref="D40:D42 D45" showDropDown="0" showInputMessage="0" showErrorMessage="0" allowBlank="1" errorTitle="Wartość nieprawidłowa" error="Podaj liczbę nie mniejszą niż 0." type="decimal" errorStyle="stop" operator="greaterThanOrEqual">
      <formula1>0</formula1>
      <formula2>0</formula2>
    </dataValidation>
    <dataValidation sqref="D44" showDropDown="0" showInputMessage="0" showErrorMessage="0" allowBlank="1" errorTitle="Procent poza zakresem" error="Podaj wartość od 0% do 100%." type="decimal" errorStyle="stop" operator="between">
      <formula1>0</formula1>
      <formula2>1</formula2>
    </dataValidation>
  </dataValidations>
  <printOptions horizontalCentered="0" verticalCentered="0" headings="0" gridLines="0" gridLinesSet="1"/>
  <pageMargins left="0.4" right="0.4" top="0.4" bottom="0.4" header="0.511811023622047" footer="0.511811023622047"/>
  <pageSetup orientation="landscape" paperSize="9" scale="100" fitToHeight="0" fitToWidth="1" pageOrder="downThenOver" blackAndWhite="0" draft="0" horizontalDpi="300" verticalDpi="300" copies="1"/>
  <legacyDrawing xmlns:r="http://schemas.openxmlformats.org/officeDocument/2006/relationships" r:id="anysvml"/>
</worksheet>
</file>

<file path=xl/worksheets/sheet11.xml><?xml version="1.0" encoding="utf-8"?>
<worksheet xmlns="http://schemas.openxmlformats.org/spreadsheetml/2006/main">
  <sheetPr filterMode="0">
    <tabColor rgb="FF0164FF"/>
    <outlinePr summaryBelow="1" summaryRight="1"/>
    <pageSetUpPr fitToPage="1"/>
  </sheetPr>
  <dimension ref="A1:L101"/>
  <sheetViews>
    <sheetView showFormulas="0" showGridLines="0" showRowColHeaders="1" showZeros="1" rightToLeft="0" tabSelected="0" showOutlineSymbols="1" defaultGridColor="1"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2" customWidth="1" style="94" min="1" max="1"/>
    <col width="46" customWidth="1" style="94" min="2" max="2"/>
    <col width="17" customWidth="1" style="94" min="3" max="5"/>
    <col width="2" customWidth="1" style="94" min="6" max="6"/>
    <col width="12" customWidth="1" style="94" min="7" max="15"/>
  </cols>
  <sheetData>
    <row r="1" ht="15" customHeight="1" s="95">
      <c r="A1" s="116" t="inlineStr">
        <is>
          <t>NexaIT</t>
        </is>
      </c>
    </row>
    <row r="2" ht="24" customHeight="1" s="95">
      <c r="A2" s="117" t="inlineStr">
        <is>
          <t>Dashboard - Management Score</t>
        </is>
      </c>
    </row>
    <row r="3" ht="30" customHeight="1" s="95">
      <c r="A3" s="118" t="inlineStr">
        <is>
          <t>Select a scenario. All numbers below are derived solely from your data.</t>
        </is>
      </c>
    </row>
    <row r="4"/>
    <row r="5" ht="15" customHeight="1" s="95">
      <c r="B5" s="158" t="inlineStr">
        <is>
          <t>Scenario to show</t>
        </is>
      </c>
      <c r="C5" s="127" t="inlineStr">
        <is>
          <t>S1</t>
        </is>
      </c>
    </row>
    <row r="6" ht="15" customHeight="1" s="95">
      <c r="B6" s="159" t="inlineStr">
        <is>
          <t>Event name and type</t>
        </is>
      </c>
      <c r="C6" s="160">
        <f>IFERROR(IF(INDEX('SCENARIOS'!$B$7:$B$14,$C$7)="","(nienazwany)",INDEX('SCENARIOS'!$B$7:$B$14,$C$7)),"")</f>
        <v/>
      </c>
      <c r="D6" s="159">
        <f>IFERROR(IF(INDEX('SCENARIOS'!$C$7:$C$14,$C$7)="","(nie wybrano typu)",INDEX('SCENARIOS'!$C$7:$C$14,$C$7)),"")</f>
        <v/>
      </c>
    </row>
    <row r="7" ht="15" customHeight="1" s="95">
      <c r="B7" s="98" t="inlineStr">
        <is>
          <t>Scenario index (helpful)</t>
        </is>
      </c>
      <c r="C7" s="161">
        <f>IFERROR(MATCH($C$5,'SCENARIOS'!$A$7:$A$14,0),1)</f>
        <v/>
      </c>
    </row>
    <row r="8"/>
    <row r="9" ht="19.5" customHeight="1" s="95">
      <c r="A9" s="99" t="inlineStr">
        <is>
          <t xml:space="preserve">  COST OF ONE EVENT - FOUR PERSPECTIVES (DO NOT TOTAL THEM)</t>
        </is>
      </c>
      <c r="B9" s="100" t="n"/>
      <c r="C9" s="100" t="n"/>
      <c r="D9" s="100" t="n"/>
      <c r="E9" s="100" t="n"/>
    </row>
    <row r="10" ht="21.75" customHeight="1" s="95">
      <c r="A10" s="119" t="n"/>
      <c r="B10" s="119" t="inlineStr">
        <is>
          <t>Perspective</t>
        </is>
      </c>
      <c r="C10" s="119" t="inlineStr">
        <is>
          <t>Low</t>
        </is>
      </c>
      <c r="D10" s="119" t="inlineStr">
        <is>
          <t>Base</t>
        </is>
      </c>
      <c r="E10" s="119" t="inlineStr">
        <is>
          <t>High</t>
        </is>
      </c>
    </row>
    <row r="11" ht="27.75" customHeight="1" s="95">
      <c r="B11" s="130" t="inlineStr">
        <is>
          <t>IMPACT ON FINANCIAL RESULT (P&amp;L)</t>
        </is>
      </c>
      <c r="C11" s="162">
        <f>IFERROR(INDEX('SCENARIOS'!$C$128:$J$128,$C$7),0)</f>
        <v/>
      </c>
      <c r="D11" s="162">
        <f>IFERROR(INDEX('SCENARIOS'!$C$129:$J$129,$C$7),0)</f>
        <v/>
      </c>
      <c r="E11" s="162">
        <f>IFERROR(INDEX('SCENARIOS'!$C$130:$J$130,$C$7),0)</f>
        <v/>
      </c>
    </row>
    <row r="12" ht="21.75" customHeight="1" s="95">
      <c r="B12" s="121" t="inlineStr">
        <is>
          <t>including cash cost (incremental)</t>
        </is>
      </c>
      <c r="C12" s="129">
        <f>IFERROR(INDEX('SCENARIOS'!$C$134:$J$134,$C$7),0)</f>
        <v/>
      </c>
      <c r="D12" s="129">
        <f>IFERROR(INDEX('SCENARIOS'!$C$135:$J$135,$C$7),0)</f>
        <v/>
      </c>
      <c r="E12" s="129">
        <f>IFERROR(INDEX('SCENARIOS'!$C$136:$J$136,$C$7),0)</f>
        <v/>
      </c>
    </row>
    <row r="13" ht="21.75" customHeight="1" s="95">
      <c r="B13" s="121" t="inlineStr">
        <is>
          <t>Lost Operational Capability - KPI, do not add to P&amp;L</t>
        </is>
      </c>
      <c r="C13" s="129">
        <f>IFERROR(INDEX('SCENARIOS'!$C$131:$J$131,$C$7),0)</f>
        <v/>
      </c>
      <c r="D13" s="129">
        <f>IFERROR(INDEX('SCENARIOS'!$C$132:$J$132,$C$7),0)</f>
        <v/>
      </c>
      <c r="E13" s="129">
        <f>IFERROR(INDEX('SCENARIOS'!$C$133:$J$133,$C$7),0)</f>
        <v/>
      </c>
    </row>
    <row r="14" ht="21.75" customHeight="1" s="95">
      <c r="B14" s="121" t="inlineStr">
        <is>
          <t>Contingent exposures - beyond the underlying result</t>
        </is>
      </c>
      <c r="C14" s="129">
        <f>IFERROR(INDEX('SCENARIOS'!$C$122:$J$122,$C$7),0)</f>
        <v/>
      </c>
      <c r="D14" s="129">
        <f>IFERROR(INDEX('SCENARIOS'!$C$123:$J$123,$C$7),0)</f>
        <v/>
      </c>
      <c r="E14" s="129">
        <f>IFERROR(INDEX('SCENARIOS'!$C$124:$J$124,$C$7),0)</f>
        <v/>
      </c>
    </row>
    <row r="15" ht="21.75" customHeight="1" s="95">
      <c r="B15" s="121" t="inlineStr">
        <is>
          <t>Potential recoveries - informative, not deducted</t>
        </is>
      </c>
      <c r="C15" s="129">
        <f>IFERROR(INDEX('SCENARIOS'!$C$125:$J$125,$C$7),0)</f>
        <v/>
      </c>
      <c r="D15" s="129">
        <f>IFERROR(INDEX('SCENARIOS'!$C$126:$J$126,$C$7),0)</f>
        <v/>
      </c>
      <c r="E15" s="129">
        <f>IFERROR(INDEX('SCENARIOS'!$C$127:$J$127,$C$7),0)</f>
        <v/>
      </c>
    </row>
    <row r="16"/>
    <row r="17" ht="19.5" customHeight="1" s="95">
      <c r="A17" s="99" t="inlineStr">
        <is>
          <t xml:space="preserve">  TIME, RTO AND ANNUAL RISK</t>
        </is>
      </c>
      <c r="B17" s="100" t="n"/>
      <c r="C17" s="100" t="n"/>
      <c r="D17" s="100" t="n"/>
      <c r="E17" s="100" t="n"/>
    </row>
    <row r="18" ht="19.5" customHeight="1" s="95">
      <c r="A18" s="119" t="n"/>
      <c r="B18" s="119" t="inlineStr">
        <is>
          <t>Measure</t>
        </is>
      </c>
      <c r="C18" s="119" t="inlineStr">
        <is>
          <t>Value</t>
        </is>
      </c>
      <c r="D18" s="119" t="n"/>
      <c r="E18" s="119" t="n"/>
    </row>
    <row r="19" ht="19.5" customHeight="1" s="95">
      <c r="B19" s="121" t="inlineStr">
        <is>
          <t>Event calendar time [h]</t>
        </is>
      </c>
      <c r="C19" s="128">
        <f>IFERROR(INDEX('SCENARIOS'!$C$93:$J$93,$C$7),0)</f>
        <v/>
      </c>
    </row>
    <row r="20" ht="19.5" customHeight="1" s="95">
      <c r="B20" s="121" t="inlineStr">
        <is>
          <t>Effective downtime hours [h]</t>
        </is>
      </c>
      <c r="C20" s="128">
        <f>IFERROR(INDEX('SCENARIOS'!$C$95:$J$95,$C$7),0)</f>
        <v/>
      </c>
    </row>
    <row r="21" ht="19.5" customHeight="1" s="95">
      <c r="B21" s="121" t="inlineStr">
        <is>
          <t>Shortest RTO among processes covered [h]</t>
        </is>
      </c>
      <c r="C21" s="128">
        <f>IF(COUNT($H$90:$H$101)=0,"brak danych",MIN($H$90:$H$101))</f>
        <v/>
      </c>
    </row>
    <row r="22" ht="19.5" customHeight="1" s="95">
      <c r="B22" s="121" t="inlineStr">
        <is>
          <t>The shortest MTPD / MAO among the processes covered [h]</t>
        </is>
      </c>
      <c r="C22" s="128">
        <f>IF(COUNT($I$90:$I$101)=0,"brak danych",MIN($I$90:$I$101))</f>
        <v/>
      </c>
    </row>
    <row r="23" ht="19.5" customHeight="1" s="95">
      <c r="B23" s="121" t="inlineStr">
        <is>
          <t>Headroom between RTO and MTPD [h]</t>
        </is>
      </c>
      <c r="C23" s="128">
        <f>IF(OR(COUNT($H$90:$H$101)=0,COUNT($I$90:$I$101)=0),"brak danych",ROUND(MIN($I$90:$I$101)-MIN($H$90:$H$101),2))</f>
        <v/>
      </c>
    </row>
    <row r="24" ht="19.5" customHeight="1" s="95">
      <c r="B24" s="121" t="inlineStr">
        <is>
          <t>Does effective downtime exceed MTPD?</t>
        </is>
      </c>
      <c r="C24" s="157">
        <f>IF(COUNT($I$90:$I$101)=0,"brak danych",IF(IFERROR(INDEX('SCENARIOS'!$C$95:$J$95,$C$7),0)&gt;MIN($I$90:$I$101),"TAK — skutki w tym scenariuszu przekraczają akceptowalny próg","NIE — zdarzenie mieści się w akceptowalnym progu"))</f>
        <v/>
      </c>
      <c r="D24" s="163" t="n"/>
      <c r="E24" s="164" t="n"/>
    </row>
    <row r="25" ht="19.5" customHeight="1" s="95">
      <c r="B25" s="130" t="inlineStr">
        <is>
          <t>Expected annual loss (P&amp;L) - base [PLN/year]</t>
        </is>
      </c>
      <c r="C25" s="140">
        <f>IFERROR(INDEX('SCENARIOS'!$C$140:$J$140,$C$7),0)</f>
        <v/>
      </c>
    </row>
    <row r="26"/>
    <row r="27" ht="19.5" customHeight="1" s="95">
      <c r="A27" s="99" t="inlineStr">
        <is>
          <t xml:space="preserve">  TOP 5 INGREDIENTS THAT IMPACT ON P&amp;L</t>
        </is>
      </c>
      <c r="B27" s="100" t="n"/>
      <c r="C27" s="100" t="n"/>
      <c r="D27" s="100" t="n"/>
      <c r="E27" s="100" t="n"/>
    </row>
    <row r="28" ht="19.5" customHeight="1" s="95">
      <c r="A28" s="119" t="n"/>
      <c r="B28" s="119" t="inlineStr">
        <is>
          <t>Ingredient</t>
        </is>
      </c>
      <c r="C28" s="119" t="inlineStr">
        <is>
          <t>Base amount</t>
        </is>
      </c>
      <c r="D28" s="119" t="inlineStr">
        <is>
          <t>Participation in P&amp;L</t>
        </is>
      </c>
      <c r="E28" s="119" t="n"/>
    </row>
    <row r="29" ht="19.5" customHeight="1" s="95">
      <c r="B29" s="136">
        <f>IFERROR(INDEX($G$70:$G$83,MATCH(LARGE($K$70:$K$83,1),$K$70:$K$83,0)),"—")</f>
        <v/>
      </c>
      <c r="C29" s="129">
        <f>IFERROR(INDEX($H$70:$H$83,MATCH(LARGE($K$70:$K$83,1),$K$70:$K$83,0)),0)</f>
        <v/>
      </c>
      <c r="D29" s="165">
        <f>IF(IFERROR(INDEX('SCENARIOS'!$C$129:$J$129,$C$7),0)=0,"n/d",ROUND($C29/INDEX('SCENARIOS'!$C$129:$J$129,$C$7),4))</f>
        <v/>
      </c>
    </row>
    <row r="30" ht="19.5" customHeight="1" s="95">
      <c r="B30" s="136">
        <f>IFERROR(INDEX($G$70:$G$83,MATCH(LARGE($K$70:$K$83,2),$K$70:$K$83,0)),"—")</f>
        <v/>
      </c>
      <c r="C30" s="129">
        <f>IFERROR(INDEX($H$70:$H$83,MATCH(LARGE($K$70:$K$83,2),$K$70:$K$83,0)),0)</f>
        <v/>
      </c>
      <c r="D30" s="165">
        <f>IF(IFERROR(INDEX('SCENARIOS'!$C$129:$J$129,$C$7),0)=0,"n/d",ROUND($C30/INDEX('SCENARIOS'!$C$129:$J$129,$C$7),4))</f>
        <v/>
      </c>
    </row>
    <row r="31" ht="19.5" customHeight="1" s="95">
      <c r="B31" s="136">
        <f>IFERROR(INDEX($G$70:$G$83,MATCH(LARGE($K$70:$K$83,3),$K$70:$K$83,0)),"—")</f>
        <v/>
      </c>
      <c r="C31" s="129">
        <f>IFERROR(INDEX($H$70:$H$83,MATCH(LARGE($K$70:$K$83,3),$K$70:$K$83,0)),0)</f>
        <v/>
      </c>
      <c r="D31" s="165">
        <f>IF(IFERROR(INDEX('SCENARIOS'!$C$129:$J$129,$C$7),0)=0,"n/d",ROUND($C31/INDEX('SCENARIOS'!$C$129:$J$129,$C$7),4))</f>
        <v/>
      </c>
    </row>
    <row r="32" ht="19.5" customHeight="1" s="95">
      <c r="B32" s="136">
        <f>IFERROR(INDEX($G$70:$G$83,MATCH(LARGE($K$70:$K$83,4),$K$70:$K$83,0)),"—")</f>
        <v/>
      </c>
      <c r="C32" s="129">
        <f>IFERROR(INDEX($H$70:$H$83,MATCH(LARGE($K$70:$K$83,4),$K$70:$K$83,0)),0)</f>
        <v/>
      </c>
      <c r="D32" s="165">
        <f>IF(IFERROR(INDEX('SCENARIOS'!$C$129:$J$129,$C$7),0)=0,"n/d",ROUND($C32/INDEX('SCENARIOS'!$C$129:$J$129,$C$7),4))</f>
        <v/>
      </c>
    </row>
    <row r="33" ht="19.5" customHeight="1" s="95">
      <c r="B33" s="136">
        <f>IFERROR(INDEX($G$70:$G$83,MATCH(LARGE($K$70:$K$83,5),$K$70:$K$83,0)),"—")</f>
        <v/>
      </c>
      <c r="C33" s="129">
        <f>IFERROR(INDEX($H$70:$H$83,MATCH(LARGE($K$70:$K$83,5),$K$70:$K$83,0)),0)</f>
        <v/>
      </c>
      <c r="D33" s="165">
        <f>IF(IFERROR(INDEX('SCENARIOS'!$C$129:$J$129,$C$7),0)=0,"n/d",ROUND($C33/INDEX('SCENARIOS'!$C$129:$J$129,$C$7),4))</f>
        <v/>
      </c>
    </row>
    <row r="34"/>
    <row r="35" ht="19.5" customHeight="1" s="95">
      <c r="A35" s="99" t="inlineStr">
        <is>
          <t xml:space="preserve">  COST INCREASED OVER TIME (impact on P&amp;L)</t>
        </is>
      </c>
      <c r="B35" s="100" t="n"/>
      <c r="C35" s="100" t="n"/>
      <c r="D35" s="100" t="n"/>
      <c r="E35" s="100" t="n"/>
    </row>
    <row r="36" ht="19.5" customHeight="1" s="95">
      <c r="A36" s="119" t="n"/>
      <c r="B36" s="119" t="inlineStr">
        <is>
          <t>Effective downtime hours</t>
        </is>
      </c>
      <c r="C36" s="119" t="inlineStr">
        <is>
          <t>P&amp;L cost</t>
        </is>
      </c>
      <c r="D36" s="119" t="n"/>
      <c r="E36" s="119" t="n"/>
    </row>
    <row r="37" ht="18" customHeight="1" s="95">
      <c r="B37" s="124" t="n">
        <v>1</v>
      </c>
      <c r="C37" s="129">
        <f>IF($B37="","",IFERROR(ROUND($B37*INDEX('SCENARIOS'!$C$97:$J$97,$C$7)+INDEX('SCENARIOS'!$C$138:$J$138,$C$7),2),0))</f>
        <v/>
      </c>
    </row>
    <row r="38" ht="18" customHeight="1" s="95">
      <c r="B38" s="124" t="n">
        <v>4</v>
      </c>
      <c r="C38" s="129">
        <f>IF($B38="","",IFERROR(ROUND($B38*INDEX('SCENARIOS'!$C$97:$J$97,$C$7)+INDEX('SCENARIOS'!$C$138:$J$138,$C$7),2),0))</f>
        <v/>
      </c>
    </row>
    <row r="39" ht="18" customHeight="1" s="95">
      <c r="B39" s="124" t="n">
        <v>8</v>
      </c>
      <c r="C39" s="129">
        <f>IF($B39="","",IFERROR(ROUND($B39*INDEX('SCENARIOS'!$C$97:$J$97,$C$7)+INDEX('SCENARIOS'!$C$138:$J$138,$C$7),2),0))</f>
        <v/>
      </c>
    </row>
    <row r="40" ht="18" customHeight="1" s="95">
      <c r="B40" s="124" t="n">
        <v>24</v>
      </c>
      <c r="C40" s="129">
        <f>IF($B40="","",IFERROR(ROUND($B40*INDEX('SCENARIOS'!$C$97:$J$97,$C$7)+INDEX('SCENARIOS'!$C$138:$J$138,$C$7),2),0))</f>
        <v/>
      </c>
    </row>
    <row r="41" ht="18" customHeight="1" s="95">
      <c r="B41" s="124" t="n">
        <v>48</v>
      </c>
      <c r="C41" s="129">
        <f>IF($B41="","",IFERROR(ROUND($B41*INDEX('SCENARIOS'!$C$97:$J$97,$C$7)+INDEX('SCENARIOS'!$C$138:$J$138,$C$7),2),0))</f>
        <v/>
      </c>
    </row>
    <row r="42" ht="18" customHeight="1" s="95">
      <c r="B42" s="124" t="n"/>
      <c r="C42" s="129">
        <f>IF($B42="","",IFERROR(ROUND($B42*INDEX('SCENARIOS'!$C$97:$J$97,$C$7)+INDEX('SCENARIOS'!$C$138:$J$138,$C$7),2),0))</f>
        <v/>
      </c>
    </row>
    <row r="43" ht="18" customHeight="1" s="95">
      <c r="B43" s="124" t="n"/>
      <c r="C43" s="129">
        <f>IF($B43="","",IFERROR(ROUND($B43*INDEX('SCENARIOS'!$C$97:$J$97,$C$7)+INDEX('SCENARIOS'!$C$138:$J$138,$C$7),2),0))</f>
        <v/>
      </c>
    </row>
    <row r="44" ht="27.75" customHeight="1" s="95">
      <c r="B44" s="107" t="inlineStr">
        <is>
          <t>The last two lines are intentionally blank - enter your own time points, such as the length of your service window or your contracted recovery goal.</t>
        </is>
      </c>
    </row>
    <row r="45"/>
    <row r="46" ht="19.5" customHeight="1" s="95">
      <c r="A46" s="99" t="inlineStr">
        <is>
          <t xml:space="preserve">  SENSITIVITY ANALYSIS - spread resulting from YOUR ranges</t>
        </is>
      </c>
      <c r="B46" s="100" t="n"/>
      <c r="C46" s="100" t="n"/>
      <c r="D46" s="100" t="n"/>
      <c r="E46" s="100" t="n"/>
    </row>
    <row r="47" ht="19.5" customHeight="1" s="95">
      <c r="A47" s="119" t="n"/>
      <c r="B47" s="119" t="inlineStr">
        <is>
          <t>Ingredient</t>
        </is>
      </c>
      <c r="C47" s="119" t="inlineStr">
        <is>
          <t>Spread (high − low)</t>
        </is>
      </c>
      <c r="D47" s="119" t="n"/>
      <c r="E47" s="119" t="n"/>
    </row>
    <row r="48" ht="19.5" customHeight="1" s="95">
      <c r="B48" s="136">
        <f>IFERROR(INDEX($G$70:$G$83,MATCH(LARGE($L$70:$L$83,1),$L$70:$L$83,0)),"—")</f>
        <v/>
      </c>
      <c r="C48" s="129">
        <f>IFERROR(INDEX($J$70:$J$83,MATCH(LARGE($L$70:$L$83,1),$L$70:$L$83,0))-INDEX($I$70:$I$83,MATCH(LARGE($L$70:$L$83,1),$L$70:$L$83,0)),0)</f>
        <v/>
      </c>
    </row>
    <row r="49" ht="19.5" customHeight="1" s="95">
      <c r="B49" s="136">
        <f>IFERROR(INDEX($G$70:$G$83,MATCH(LARGE($L$70:$L$83,2),$L$70:$L$83,0)),"—")</f>
        <v/>
      </c>
      <c r="C49" s="129">
        <f>IFERROR(INDEX($J$70:$J$83,MATCH(LARGE($L$70:$L$83,2),$L$70:$L$83,0))-INDEX($I$70:$I$83,MATCH(LARGE($L$70:$L$83,2),$L$70:$L$83,0)),0)</f>
        <v/>
      </c>
    </row>
    <row r="50" ht="19.5" customHeight="1" s="95">
      <c r="B50" s="136">
        <f>IFERROR(INDEX($G$70:$G$83,MATCH(LARGE($L$70:$L$83,3),$L$70:$L$83,0)),"—")</f>
        <v/>
      </c>
      <c r="C50" s="129">
        <f>IFERROR(INDEX($J$70:$J$83,MATCH(LARGE($L$70:$L$83,3),$L$70:$L$83,0))-INDEX($I$70:$I$83,MATCH(LARGE($L$70:$L$83,3),$L$70:$L$83,0)),0)</f>
        <v/>
      </c>
    </row>
    <row r="51" ht="19.5" customHeight="1" s="95">
      <c r="B51" s="136">
        <f>IFERROR(INDEX($G$70:$G$83,MATCH(LARGE($L$70:$L$83,4),$L$70:$L$83,0)),"—")</f>
        <v/>
      </c>
      <c r="C51" s="129">
        <f>IFERROR(INDEX($J$70:$J$83,MATCH(LARGE($L$70:$L$83,4),$L$70:$L$83,0))-INDEX($I$70:$I$83,MATCH(LARGE($L$70:$L$83,4),$L$70:$L$83,0)),0)</f>
        <v/>
      </c>
    </row>
    <row r="52" ht="19.5" customHeight="1" s="95">
      <c r="B52" s="136">
        <f>IFERROR(INDEX($G$70:$G$83,MATCH(LARGE($L$70:$L$83,5),$L$70:$L$83,0)),"—")</f>
        <v/>
      </c>
      <c r="C52" s="129">
        <f>IFERROR(INDEX($J$70:$J$83,MATCH(LARGE($L$70:$L$83,5),$L$70:$L$83,0))-INDEX($I$70:$I$83,MATCH(LARGE($L$70:$L$83,5),$L$70:$L$83,0)),0)</f>
        <v/>
      </c>
    </row>
    <row r="53" ht="27.75" customHeight="1" s="95">
      <c r="B53" s="107" t="inlineStr">
        <is>
          <t>This is not arbitrary ±20%. The spread comes only from the ranges you entered yourself. The ingredient at the top of the list is the most worth clarifying.</t>
        </is>
      </c>
    </row>
    <row r="54"/>
    <row r="55" ht="19.5" customHeight="1" s="95">
      <c r="A55" s="99" t="inlineStr">
        <is>
          <t xml:space="preserve">  COMPLETENESS AND RELIABILITY OF DATA</t>
        </is>
      </c>
      <c r="B55" s="100" t="n"/>
      <c r="C55" s="100" t="n"/>
      <c r="D55" s="100" t="n"/>
      <c r="E55" s="100" t="n"/>
    </row>
    <row r="56" ht="18" customHeight="1" s="95">
      <c r="B56" s="121" t="inlineStr">
        <is>
          <t>Completed required fields in COMPANY PROFILE</t>
        </is>
      </c>
      <c r="C56" s="146">
        <f>'QA'!$D$9</f>
        <v/>
      </c>
    </row>
    <row r="57" ht="18" customHeight="1" s="95">
      <c r="B57" s="121" t="inlineStr">
        <is>
          <t>Items included in the result without a base value</t>
        </is>
      </c>
      <c r="C57" s="161">
        <f>'QA'!$D$16</f>
        <v/>
      </c>
    </row>
    <row r="58" ht="18" customHeight="1" s="95">
      <c r="B58" s="121" t="inlineStr">
        <is>
          <t>Items marked as UNCOUNTED</t>
        </is>
      </c>
      <c r="C58" s="161">
        <f>'QA'!$D$20</f>
        <v/>
      </c>
    </row>
    <row r="59" ht="18" customHeight="1" s="95">
      <c r="B59" s="121" t="inlineStr">
        <is>
          <t>Share of high confidence items among those included</t>
        </is>
      </c>
      <c r="C59" s="146">
        <f>'QA'!$D$25</f>
        <v/>
      </c>
    </row>
    <row r="60" ht="18" customHeight="1" s="95">
      <c r="B60" s="121" t="inlineStr">
        <is>
          <t>Open warnings on QA tab</t>
        </is>
      </c>
      <c r="C60" s="161">
        <f>'QA'!$D$27</f>
        <v/>
      </c>
    </row>
    <row r="61" ht="18" customHeight="1" s="95">
      <c r="B61" s="121" t="inlineStr">
        <is>
          <t>Completeness rating</t>
        </is>
      </c>
      <c r="C61" s="166">
        <f>'QA'!$D$28</f>
        <v/>
      </c>
    </row>
    <row r="62"/>
    <row r="63" ht="19.5" customHeight="1" s="95">
      <c r="A63" s="99" t="inlineStr">
        <is>
          <t xml:space="preserve">  INTERPRETACJA</t>
        </is>
      </c>
      <c r="B63" s="100" t="n"/>
      <c r="C63" s="100" t="n"/>
      <c r="D63" s="100" t="n"/>
      <c r="E63" s="100" t="n"/>
    </row>
    <row r="64" ht="39.75" customHeight="1" s="95">
      <c r="B64" s="167">
        <f>IF(IFERROR(INDEX('SCENARIOS'!$C$129:$J$129,$C$7),0)=0,"Model nie ma jeszcze danych dla tego scenariusza. Uzupełnij fazy zdarzenia, macierz objęcia i przynajmniej jeden proces z metodą wyceny.","Wynik bazowy dotyczy jednego zdarzenia w wybranym scenariuszu. Największy udział ma składnik pokazany na pierwszym miejscu listy TOP 5. Przedział niski–wysoki wynika wyłącznie z zakresów podanych przez Ciebie: im szerszy, tym więcej warto doprecyzować w składniku z największym rozrzutem.")</f>
        <v/>
      </c>
    </row>
    <row r="65" ht="39.75" customHeight="1" s="95"/>
    <row r="66"/>
    <row r="67" ht="52.5" customHeight="1" s="95">
      <c r="B67" s="107" t="inlineStr">
        <is>
          <t>The result is an estimation based solely on the data and assumptions entered by the user. It does not constitute an offer, valuation, audit or accounting, legal or insurance advice. The actual impact depends on processes, contracts, taxes, insurance, ability to catch up and the course of the event. Confirm investment decisions with finance, operations, IT and, if necessary, your lawyer or insurer.</t>
        </is>
      </c>
    </row>
    <row r="68" ht="19.5" customHeight="1" s="95">
      <c r="A68" s="99" t="inlineStr">
        <is>
          <t xml:space="preserve">  SUPPORTING DATA FOR LISTS AND CHARTS (do not edit)</t>
        </is>
      </c>
      <c r="B68" s="100" t="n"/>
      <c r="C68" s="100" t="n"/>
      <c r="D68" s="100" t="n"/>
      <c r="E68" s="100" t="n"/>
      <c r="F68" s="100" t="n"/>
      <c r="G68" s="100" t="n"/>
      <c r="H68" s="100" t="n"/>
      <c r="I68" s="100" t="n"/>
      <c r="J68" s="100" t="n"/>
      <c r="K68" s="100" t="n"/>
      <c r="L68" s="100" t="n"/>
    </row>
    <row r="69" ht="24" customHeight="1" s="95">
      <c r="A69" s="119" t="n"/>
      <c r="B69" s="119" t="n"/>
      <c r="C69" s="119" t="n"/>
      <c r="D69" s="119" t="n"/>
      <c r="E69" s="119" t="n"/>
      <c r="F69" s="119" t="inlineStr">
        <is>
          <t>No.</t>
        </is>
      </c>
      <c r="G69" s="119" t="inlineStr">
        <is>
          <t>Ingredient</t>
        </is>
      </c>
      <c r="H69" s="119" t="inlineStr">
        <is>
          <t>Base</t>
        </is>
      </c>
      <c r="I69" s="119" t="inlineStr">
        <is>
          <t>Low</t>
        </is>
      </c>
      <c r="J69" s="119" t="inlineStr">
        <is>
          <t>High</t>
        </is>
      </c>
      <c r="K69" s="119" t="inlineStr">
        <is>
          <t>Sort key</t>
        </is>
      </c>
      <c r="L69" s="119" t="inlineStr">
        <is>
          <t>Scatter Key</t>
        </is>
      </c>
    </row>
    <row r="70" ht="15.75" customHeight="1" s="95">
      <c r="F70" s="121" t="n">
        <v>1</v>
      </c>
      <c r="G70" s="121" t="inlineStr">
        <is>
          <t>Lost contribution margin (engine)</t>
        </is>
      </c>
      <c r="H70" s="129">
        <f>IFERROR(INDEX('SCENARIOS'!$C$99:$J$99,$C$7),0)</f>
        <v/>
      </c>
      <c r="I70" s="129">
        <f>IFERROR(INDEX('SCENARIOS'!$C$98:$J$98,$C$7),0)</f>
        <v/>
      </c>
      <c r="J70" s="129">
        <f>IFERROR(INDEX('SCENARIOS'!$C$100:$J$100,$C$7),0)</f>
        <v/>
      </c>
      <c r="K70" s="128">
        <f>$H70+$F70*0.000001</f>
        <v/>
      </c>
      <c r="L70" s="128">
        <f>($J70-$I70)+$F70*0.000001</f>
        <v/>
      </c>
    </row>
    <row r="71" ht="15.75" customHeight="1" s="95">
      <c r="F71" s="121" t="n">
        <v>2</v>
      </c>
      <c r="G71" s="121" t="inlineStr">
        <is>
          <t>K1 People and productivity</t>
        </is>
      </c>
      <c r="H71" s="129">
        <f>IFERROR(SUMIFS('DETAILED COSTS'!$W$7:$W$126,'DETAILED COSTS'!$B$7:$B$126,$C$5,'DETAILED COSTS'!$D$7:$D$126,$G71,'DETAILED COSTS'!$F$7:$F$126,"GOTÓWKA")+SUMIFS('DETAILED COSTS'!$W$7:$W$126,'DETAILED COSTS'!$B$7:$B$126,$C$5,'DETAILED COSTS'!$D$7:$D$126,$G71,'DETAILED COSTS'!$F$7:$F$126,"P&amp;L"),0)</f>
        <v/>
      </c>
      <c r="I71" s="129">
        <f>IFERROR(SUMIFS('DETAILED COSTS'!$V$7:$V$126,'DETAILED COSTS'!$B$7:$B$126,$C$5,'DETAILED COSTS'!$D$7:$D$126,$G71,'DETAILED COSTS'!$F$7:$F$126,"GOTÓWKA")+SUMIFS('DETAILED COSTS'!$V$7:$V$126,'DETAILED COSTS'!$B$7:$B$126,$C$5,'DETAILED COSTS'!$D$7:$D$126,$G71,'DETAILED COSTS'!$F$7:$F$126,"P&amp;L"),0)</f>
        <v/>
      </c>
      <c r="J71" s="129">
        <f>IFERROR(SUMIFS('DETAILED COSTS'!$X$7:$X$126,'DETAILED COSTS'!$B$7:$B$126,$C$5,'DETAILED COSTS'!$D$7:$D$126,$G71,'DETAILED COSTS'!$F$7:$F$126,"GOTÓWKA")+SUMIFS('DETAILED COSTS'!$X$7:$X$126,'DETAILED COSTS'!$B$7:$B$126,$C$5,'DETAILED COSTS'!$D$7:$D$126,$G71,'DETAILED COSTS'!$F$7:$F$126,"P&amp;L"),0)</f>
        <v/>
      </c>
      <c r="K71" s="128">
        <f>$H71+$F71*0.000001</f>
        <v/>
      </c>
      <c r="L71" s="128">
        <f>($J71-$I71)+$F71*0.000001</f>
        <v/>
      </c>
    </row>
    <row r="72" ht="15.75" customHeight="1" s="95">
      <c r="F72" s="121" t="n">
        <v>3</v>
      </c>
      <c r="G72" s="121" t="inlineStr">
        <is>
          <t>K2 Sales, revenue and margin</t>
        </is>
      </c>
      <c r="H72" s="129">
        <f>IFERROR(SUMIFS('DETAILED COSTS'!$W$7:$W$126,'DETAILED COSTS'!$B$7:$B$126,$C$5,'DETAILED COSTS'!$D$7:$D$126,$G72,'DETAILED COSTS'!$F$7:$F$126,"GOTÓWKA")+SUMIFS('DETAILED COSTS'!$W$7:$W$126,'DETAILED COSTS'!$B$7:$B$126,$C$5,'DETAILED COSTS'!$D$7:$D$126,$G72,'DETAILED COSTS'!$F$7:$F$126,"P&amp;L"),0)</f>
        <v/>
      </c>
      <c r="I72" s="129">
        <f>IFERROR(SUMIFS('DETAILED COSTS'!$V$7:$V$126,'DETAILED COSTS'!$B$7:$B$126,$C$5,'DETAILED COSTS'!$D$7:$D$126,$G72,'DETAILED COSTS'!$F$7:$F$126,"GOTÓWKA")+SUMIFS('DETAILED COSTS'!$V$7:$V$126,'DETAILED COSTS'!$B$7:$B$126,$C$5,'DETAILED COSTS'!$D$7:$D$126,$G72,'DETAILED COSTS'!$F$7:$F$126,"P&amp;L"),0)</f>
        <v/>
      </c>
      <c r="J72" s="129">
        <f>IFERROR(SUMIFS('DETAILED COSTS'!$X$7:$X$126,'DETAILED COSTS'!$B$7:$B$126,$C$5,'DETAILED COSTS'!$D$7:$D$126,$G72,'DETAILED COSTS'!$F$7:$F$126,"GOTÓWKA")+SUMIFS('DETAILED COSTS'!$X$7:$X$126,'DETAILED COSTS'!$B$7:$B$126,$C$5,'DETAILED COSTS'!$D$7:$D$126,$G72,'DETAILED COSTS'!$F$7:$F$126,"P&amp;L"),0)</f>
        <v/>
      </c>
      <c r="K72" s="128">
        <f>$H72+$F72*0.000001</f>
        <v/>
      </c>
      <c r="L72" s="128">
        <f>($J72-$I72)+$F72*0.000001</f>
        <v/>
      </c>
    </row>
    <row r="73" ht="15.75" customHeight="1" s="95">
      <c r="F73" s="121" t="n">
        <v>4</v>
      </c>
      <c r="G73" s="121" t="inlineStr">
        <is>
          <t>K3 Production and throughput</t>
        </is>
      </c>
      <c r="H73" s="129">
        <f>IFERROR(SUMIFS('DETAILED COSTS'!$W$7:$W$126,'DETAILED COSTS'!$B$7:$B$126,$C$5,'DETAILED COSTS'!$D$7:$D$126,$G73,'DETAILED COSTS'!$F$7:$F$126,"GOTÓWKA")+SUMIFS('DETAILED COSTS'!$W$7:$W$126,'DETAILED COSTS'!$B$7:$B$126,$C$5,'DETAILED COSTS'!$D$7:$D$126,$G73,'DETAILED COSTS'!$F$7:$F$126,"P&amp;L"),0)</f>
        <v/>
      </c>
      <c r="I73" s="129">
        <f>IFERROR(SUMIFS('DETAILED COSTS'!$V$7:$V$126,'DETAILED COSTS'!$B$7:$B$126,$C$5,'DETAILED COSTS'!$D$7:$D$126,$G73,'DETAILED COSTS'!$F$7:$F$126,"GOTÓWKA")+SUMIFS('DETAILED COSTS'!$V$7:$V$126,'DETAILED COSTS'!$B$7:$B$126,$C$5,'DETAILED COSTS'!$D$7:$D$126,$G73,'DETAILED COSTS'!$F$7:$F$126,"P&amp;L"),0)</f>
        <v/>
      </c>
      <c r="J73" s="129">
        <f>IFERROR(SUMIFS('DETAILED COSTS'!$X$7:$X$126,'DETAILED COSTS'!$B$7:$B$126,$C$5,'DETAILED COSTS'!$D$7:$D$126,$G73,'DETAILED COSTS'!$F$7:$F$126,"GOTÓWKA")+SUMIFS('DETAILED COSTS'!$X$7:$X$126,'DETAILED COSTS'!$B$7:$B$126,$C$5,'DETAILED COSTS'!$D$7:$D$126,$G73,'DETAILED COSTS'!$F$7:$F$126,"P&amp;L"),0)</f>
        <v/>
      </c>
      <c r="K73" s="128">
        <f>$H73+$F73*0.000001</f>
        <v/>
      </c>
      <c r="L73" s="128">
        <f>($J73-$I73)+$F73*0.000001</f>
        <v/>
      </c>
    </row>
    <row r="74" ht="15.75" customHeight="1" s="95">
      <c r="F74" s="121" t="n">
        <v>5</v>
      </c>
      <c r="G74" s="121" t="inlineStr">
        <is>
          <t>K4 Warehouse, logistics and trade</t>
        </is>
      </c>
      <c r="H74" s="129">
        <f>IFERROR(SUMIFS('DETAILED COSTS'!$W$7:$W$126,'DETAILED COSTS'!$B$7:$B$126,$C$5,'DETAILED COSTS'!$D$7:$D$126,$G74,'DETAILED COSTS'!$F$7:$F$126,"GOTÓWKA")+SUMIFS('DETAILED COSTS'!$W$7:$W$126,'DETAILED COSTS'!$B$7:$B$126,$C$5,'DETAILED COSTS'!$D$7:$D$126,$G74,'DETAILED COSTS'!$F$7:$F$126,"P&amp;L"),0)</f>
        <v/>
      </c>
      <c r="I74" s="129">
        <f>IFERROR(SUMIFS('DETAILED COSTS'!$V$7:$V$126,'DETAILED COSTS'!$B$7:$B$126,$C$5,'DETAILED COSTS'!$D$7:$D$126,$G74,'DETAILED COSTS'!$F$7:$F$126,"GOTÓWKA")+SUMIFS('DETAILED COSTS'!$V$7:$V$126,'DETAILED COSTS'!$B$7:$B$126,$C$5,'DETAILED COSTS'!$D$7:$D$126,$G74,'DETAILED COSTS'!$F$7:$F$126,"P&amp;L"),0)</f>
        <v/>
      </c>
      <c r="J74" s="129">
        <f>IFERROR(SUMIFS('DETAILED COSTS'!$X$7:$X$126,'DETAILED COSTS'!$B$7:$B$126,$C$5,'DETAILED COSTS'!$D$7:$D$126,$G74,'DETAILED COSTS'!$F$7:$F$126,"GOTÓWKA")+SUMIFS('DETAILED COSTS'!$X$7:$X$126,'DETAILED COSTS'!$B$7:$B$126,$C$5,'DETAILED COSTS'!$D$7:$D$126,$G74,'DETAILED COSTS'!$F$7:$F$126,"P&amp;L"),0)</f>
        <v/>
      </c>
      <c r="K74" s="128">
        <f>$H74+$F74*0.000001</f>
        <v/>
      </c>
      <c r="L74" s="128">
        <f>($J74-$I74)+$F74*0.000001</f>
        <v/>
      </c>
    </row>
    <row r="75" ht="15.75" customHeight="1" s="95">
      <c r="F75" s="121" t="n">
        <v>6</v>
      </c>
      <c r="G75" s="121" t="inlineStr">
        <is>
          <t>K5 Professional Services and Offices</t>
        </is>
      </c>
      <c r="H75" s="129">
        <f>IFERROR(SUMIFS('DETAILED COSTS'!$W$7:$W$126,'DETAILED COSTS'!$B$7:$B$126,$C$5,'DETAILED COSTS'!$D$7:$D$126,$G75,'DETAILED COSTS'!$F$7:$F$126,"GOTÓWKA")+SUMIFS('DETAILED COSTS'!$W$7:$W$126,'DETAILED COSTS'!$B$7:$B$126,$C$5,'DETAILED COSTS'!$D$7:$D$126,$G75,'DETAILED COSTS'!$F$7:$F$126,"P&amp;L"),0)</f>
        <v/>
      </c>
      <c r="I75" s="129">
        <f>IFERROR(SUMIFS('DETAILED COSTS'!$V$7:$V$126,'DETAILED COSTS'!$B$7:$B$126,$C$5,'DETAILED COSTS'!$D$7:$D$126,$G75,'DETAILED COSTS'!$F$7:$F$126,"GOTÓWKA")+SUMIFS('DETAILED COSTS'!$V$7:$V$126,'DETAILED COSTS'!$B$7:$B$126,$C$5,'DETAILED COSTS'!$D$7:$D$126,$G75,'DETAILED COSTS'!$F$7:$F$126,"P&amp;L"),0)</f>
        <v/>
      </c>
      <c r="J75" s="129">
        <f>IFERROR(SUMIFS('DETAILED COSTS'!$X$7:$X$126,'DETAILED COSTS'!$B$7:$B$126,$C$5,'DETAILED COSTS'!$D$7:$D$126,$G75,'DETAILED COSTS'!$F$7:$F$126,"GOTÓWKA")+SUMIFS('DETAILED COSTS'!$X$7:$X$126,'DETAILED COSTS'!$B$7:$B$126,$C$5,'DETAILED COSTS'!$D$7:$D$126,$G75,'DETAILED COSTS'!$F$7:$F$126,"P&amp;L"),0)</f>
        <v/>
      </c>
      <c r="K75" s="128">
        <f>$H75+$F75*0.000001</f>
        <v/>
      </c>
      <c r="L75" s="128">
        <f>($J75-$I75)+$F75*0.000001</f>
        <v/>
      </c>
    </row>
    <row r="76" ht="15.75" customHeight="1" s="95">
      <c r="F76" s="121" t="n">
        <v>7</v>
      </c>
      <c r="G76" s="121" t="inlineStr">
        <is>
          <t>K6 Public sector and education</t>
        </is>
      </c>
      <c r="H76" s="129">
        <f>IFERROR(SUMIFS('DETAILED COSTS'!$W$7:$W$126,'DETAILED COSTS'!$B$7:$B$126,$C$5,'DETAILED COSTS'!$D$7:$D$126,$G76,'DETAILED COSTS'!$F$7:$F$126,"GOTÓWKA")+SUMIFS('DETAILED COSTS'!$W$7:$W$126,'DETAILED COSTS'!$B$7:$B$126,$C$5,'DETAILED COSTS'!$D$7:$D$126,$G76,'DETAILED COSTS'!$F$7:$F$126,"P&amp;L"),0)</f>
        <v/>
      </c>
      <c r="I76" s="129">
        <f>IFERROR(SUMIFS('DETAILED COSTS'!$V$7:$V$126,'DETAILED COSTS'!$B$7:$B$126,$C$5,'DETAILED COSTS'!$D$7:$D$126,$G76,'DETAILED COSTS'!$F$7:$F$126,"GOTÓWKA")+SUMIFS('DETAILED COSTS'!$V$7:$V$126,'DETAILED COSTS'!$B$7:$B$126,$C$5,'DETAILED COSTS'!$D$7:$D$126,$G76,'DETAILED COSTS'!$F$7:$F$126,"P&amp;L"),0)</f>
        <v/>
      </c>
      <c r="J76" s="129">
        <f>IFERROR(SUMIFS('DETAILED COSTS'!$X$7:$X$126,'DETAILED COSTS'!$B$7:$B$126,$C$5,'DETAILED COSTS'!$D$7:$D$126,$G76,'DETAILED COSTS'!$F$7:$F$126,"GOTÓWKA")+SUMIFS('DETAILED COSTS'!$X$7:$X$126,'DETAILED COSTS'!$B$7:$B$126,$C$5,'DETAILED COSTS'!$D$7:$D$126,$G76,'DETAILED COSTS'!$F$7:$F$126,"P&amp;L"),0)</f>
        <v/>
      </c>
      <c r="K76" s="128">
        <f>$H76+$F76*0.000001</f>
        <v/>
      </c>
      <c r="L76" s="128">
        <f>($J76-$I76)+$F76*0.000001</f>
        <v/>
      </c>
    </row>
    <row r="77" ht="15.75" customHeight="1" s="95">
      <c r="F77" s="121" t="n">
        <v>8</v>
      </c>
      <c r="G77" s="121" t="inlineStr">
        <is>
          <t>K7 Technical recovery</t>
        </is>
      </c>
      <c r="H77" s="129">
        <f>IFERROR(SUMIFS('DETAILED COSTS'!$W$7:$W$126,'DETAILED COSTS'!$B$7:$B$126,$C$5,'DETAILED COSTS'!$D$7:$D$126,$G77,'DETAILED COSTS'!$F$7:$F$126,"GOTÓWKA")+SUMIFS('DETAILED COSTS'!$W$7:$W$126,'DETAILED COSTS'!$B$7:$B$126,$C$5,'DETAILED COSTS'!$D$7:$D$126,$G77,'DETAILED COSTS'!$F$7:$F$126,"P&amp;L"),0)</f>
        <v/>
      </c>
      <c r="I77" s="129">
        <f>IFERROR(SUMIFS('DETAILED COSTS'!$V$7:$V$126,'DETAILED COSTS'!$B$7:$B$126,$C$5,'DETAILED COSTS'!$D$7:$D$126,$G77,'DETAILED COSTS'!$F$7:$F$126,"GOTÓWKA")+SUMIFS('DETAILED COSTS'!$V$7:$V$126,'DETAILED COSTS'!$B$7:$B$126,$C$5,'DETAILED COSTS'!$D$7:$D$126,$G77,'DETAILED COSTS'!$F$7:$F$126,"P&amp;L"),0)</f>
        <v/>
      </c>
      <c r="J77" s="129">
        <f>IFERROR(SUMIFS('DETAILED COSTS'!$X$7:$X$126,'DETAILED COSTS'!$B$7:$B$126,$C$5,'DETAILED COSTS'!$D$7:$D$126,$G77,'DETAILED COSTS'!$F$7:$F$126,"GOTÓWKA")+SUMIFS('DETAILED COSTS'!$X$7:$X$126,'DETAILED COSTS'!$B$7:$B$126,$C$5,'DETAILED COSTS'!$D$7:$D$126,$G77,'DETAILED COSTS'!$F$7:$F$126,"P&amp;L"),0)</f>
        <v/>
      </c>
      <c r="K77" s="128">
        <f>$H77+$F77*0.000001</f>
        <v/>
      </c>
      <c r="L77" s="128">
        <f>($J77-$I77)+$F77*0.000001</f>
        <v/>
      </c>
    </row>
    <row r="78" ht="15.75" customHeight="1" s="95">
      <c r="F78" s="121" t="n">
        <v>9</v>
      </c>
      <c r="G78" s="121" t="inlineStr">
        <is>
          <t>K8 Data and information retrieval</t>
        </is>
      </c>
      <c r="H78" s="129">
        <f>IFERROR(SUMIFS('DETAILED COSTS'!$W$7:$W$126,'DETAILED COSTS'!$B$7:$B$126,$C$5,'DETAILED COSTS'!$D$7:$D$126,$G78,'DETAILED COSTS'!$F$7:$F$126,"GOTÓWKA")+SUMIFS('DETAILED COSTS'!$W$7:$W$126,'DETAILED COSTS'!$B$7:$B$126,$C$5,'DETAILED COSTS'!$D$7:$D$126,$G78,'DETAILED COSTS'!$F$7:$F$126,"P&amp;L"),0)</f>
        <v/>
      </c>
      <c r="I78" s="129">
        <f>IFERROR(SUMIFS('DETAILED COSTS'!$V$7:$V$126,'DETAILED COSTS'!$B$7:$B$126,$C$5,'DETAILED COSTS'!$D$7:$D$126,$G78,'DETAILED COSTS'!$F$7:$F$126,"GOTÓWKA")+SUMIFS('DETAILED COSTS'!$V$7:$V$126,'DETAILED COSTS'!$B$7:$B$126,$C$5,'DETAILED COSTS'!$D$7:$D$126,$G78,'DETAILED COSTS'!$F$7:$F$126,"P&amp;L"),0)</f>
        <v/>
      </c>
      <c r="J78" s="129">
        <f>IFERROR(SUMIFS('DETAILED COSTS'!$X$7:$X$126,'DETAILED COSTS'!$B$7:$B$126,$C$5,'DETAILED COSTS'!$D$7:$D$126,$G78,'DETAILED COSTS'!$F$7:$F$126,"GOTÓWKA")+SUMIFS('DETAILED COSTS'!$X$7:$X$126,'DETAILED COSTS'!$B$7:$B$126,$C$5,'DETAILED COSTS'!$D$7:$D$126,$G78,'DETAILED COSTS'!$F$7:$F$126,"P&amp;L"),0)</f>
        <v/>
      </c>
      <c r="K78" s="128">
        <f>$H78+$F78*0.000001</f>
        <v/>
      </c>
      <c r="L78" s="128">
        <f>($J78-$I78)+$F78*0.000001</f>
        <v/>
      </c>
    </row>
    <row r="79" ht="15.75" customHeight="1" s="95">
      <c r="F79" s="121" t="n">
        <v>10</v>
      </c>
      <c r="G79" s="121" t="inlineStr">
        <is>
          <t>K9 Customers, contracts, communication</t>
        </is>
      </c>
      <c r="H79" s="129">
        <f>IFERROR(SUMIFS('DETAILED COSTS'!$W$7:$W$126,'DETAILED COSTS'!$B$7:$B$126,$C$5,'DETAILED COSTS'!$D$7:$D$126,$G79,'DETAILED COSTS'!$F$7:$F$126,"GOTÓWKA")+SUMIFS('DETAILED COSTS'!$W$7:$W$126,'DETAILED COSTS'!$B$7:$B$126,$C$5,'DETAILED COSTS'!$D$7:$D$126,$G79,'DETAILED COSTS'!$F$7:$F$126,"P&amp;L"),0)</f>
        <v/>
      </c>
      <c r="I79" s="129">
        <f>IFERROR(SUMIFS('DETAILED COSTS'!$V$7:$V$126,'DETAILED COSTS'!$B$7:$B$126,$C$5,'DETAILED COSTS'!$D$7:$D$126,$G79,'DETAILED COSTS'!$F$7:$F$126,"GOTÓWKA")+SUMIFS('DETAILED COSTS'!$V$7:$V$126,'DETAILED COSTS'!$B$7:$B$126,$C$5,'DETAILED COSTS'!$D$7:$D$126,$G79,'DETAILED COSTS'!$F$7:$F$126,"P&amp;L"),0)</f>
        <v/>
      </c>
      <c r="J79" s="129">
        <f>IFERROR(SUMIFS('DETAILED COSTS'!$X$7:$X$126,'DETAILED COSTS'!$B$7:$B$126,$C$5,'DETAILED COSTS'!$D$7:$D$126,$G79,'DETAILED COSTS'!$F$7:$F$126,"GOTÓWKA")+SUMIFS('DETAILED COSTS'!$X$7:$X$126,'DETAILED COSTS'!$B$7:$B$126,$C$5,'DETAILED COSTS'!$D$7:$D$126,$G79,'DETAILED COSTS'!$F$7:$F$126,"P&amp;L"),0)</f>
        <v/>
      </c>
      <c r="K79" s="128">
        <f>$H79+$F79*0.000001</f>
        <v/>
      </c>
      <c r="L79" s="128">
        <f>($J79-$I79)+$F79*0.000001</f>
        <v/>
      </c>
    </row>
    <row r="80" ht="15.75" customHeight="1" s="95">
      <c r="F80" s="121" t="n">
        <v>11</v>
      </c>
      <c r="G80" s="121" t="inlineStr">
        <is>
          <t>K10 Cyber, data breach, fraud</t>
        </is>
      </c>
      <c r="H80" s="129">
        <f>IFERROR(SUMIFS('DETAILED COSTS'!$W$7:$W$126,'DETAILED COSTS'!$B$7:$B$126,$C$5,'DETAILED COSTS'!$D$7:$D$126,$G80,'DETAILED COSTS'!$F$7:$F$126,"GOTÓWKA")+SUMIFS('DETAILED COSTS'!$W$7:$W$126,'DETAILED COSTS'!$B$7:$B$126,$C$5,'DETAILED COSTS'!$D$7:$D$126,$G80,'DETAILED COSTS'!$F$7:$F$126,"P&amp;L"),0)</f>
        <v/>
      </c>
      <c r="I80" s="129">
        <f>IFERROR(SUMIFS('DETAILED COSTS'!$V$7:$V$126,'DETAILED COSTS'!$B$7:$B$126,$C$5,'DETAILED COSTS'!$D$7:$D$126,$G80,'DETAILED COSTS'!$F$7:$F$126,"GOTÓWKA")+SUMIFS('DETAILED COSTS'!$V$7:$V$126,'DETAILED COSTS'!$B$7:$B$126,$C$5,'DETAILED COSTS'!$D$7:$D$126,$G80,'DETAILED COSTS'!$F$7:$F$126,"P&amp;L"),0)</f>
        <v/>
      </c>
      <c r="J80" s="129">
        <f>IFERROR(SUMIFS('DETAILED COSTS'!$X$7:$X$126,'DETAILED COSTS'!$B$7:$B$126,$C$5,'DETAILED COSTS'!$D$7:$D$126,$G80,'DETAILED COSTS'!$F$7:$F$126,"GOTÓWKA")+SUMIFS('DETAILED COSTS'!$X$7:$X$126,'DETAILED COSTS'!$B$7:$B$126,$C$5,'DETAILED COSTS'!$D$7:$D$126,$G80,'DETAILED COSTS'!$F$7:$F$126,"P&amp;L"),0)</f>
        <v/>
      </c>
      <c r="K80" s="128">
        <f>$H80+$F80*0.000001</f>
        <v/>
      </c>
      <c r="L80" s="128">
        <f>($J80-$I80)+$F80*0.000001</f>
        <v/>
      </c>
    </row>
    <row r="81" ht="15.75" customHeight="1" s="95">
      <c r="F81" s="121" t="n">
        <v>12</v>
      </c>
      <c r="G81" s="121" t="inlineStr">
        <is>
          <t>K11 Other costs</t>
        </is>
      </c>
      <c r="H81" s="129">
        <f>IFERROR(SUMIFS('DETAILED COSTS'!$W$7:$W$126,'DETAILED COSTS'!$B$7:$B$126,$C$5,'DETAILED COSTS'!$D$7:$D$126,$G81,'DETAILED COSTS'!$F$7:$F$126,"GOTÓWKA")+SUMIFS('DETAILED COSTS'!$W$7:$W$126,'DETAILED COSTS'!$B$7:$B$126,$C$5,'DETAILED COSTS'!$D$7:$D$126,$G81,'DETAILED COSTS'!$F$7:$F$126,"P&amp;L"),0)</f>
        <v/>
      </c>
      <c r="I81" s="129">
        <f>IFERROR(SUMIFS('DETAILED COSTS'!$V$7:$V$126,'DETAILED COSTS'!$B$7:$B$126,$C$5,'DETAILED COSTS'!$D$7:$D$126,$G81,'DETAILED COSTS'!$F$7:$F$126,"GOTÓWKA")+SUMIFS('DETAILED COSTS'!$V$7:$V$126,'DETAILED COSTS'!$B$7:$B$126,$C$5,'DETAILED COSTS'!$D$7:$D$126,$G81,'DETAILED COSTS'!$F$7:$F$126,"P&amp;L"),0)</f>
        <v/>
      </c>
      <c r="J81" s="129">
        <f>IFERROR(SUMIFS('DETAILED COSTS'!$X$7:$X$126,'DETAILED COSTS'!$B$7:$B$126,$C$5,'DETAILED COSTS'!$D$7:$D$126,$G81,'DETAILED COSTS'!$F$7:$F$126,"GOTÓWKA")+SUMIFS('DETAILED COSTS'!$X$7:$X$126,'DETAILED COSTS'!$B$7:$B$126,$C$5,'DETAILED COSTS'!$D$7:$D$126,$G81,'DETAILED COSTS'!$F$7:$F$126,"P&amp;L"),0)</f>
        <v/>
      </c>
      <c r="K81" s="128">
        <f>$H81+$F81*0.000001</f>
        <v/>
      </c>
      <c r="L81" s="128">
        <f>($J81-$I81)+$F81*0.000001</f>
        <v/>
      </c>
    </row>
    <row r="82" ht="15.75" customHeight="1" s="95">
      <c r="F82" s="121" t="n">
        <v>13</v>
      </c>
      <c r="G82" s="121" t="inlineStr">
        <is>
          <t>Data &amp; Playback (Card) → Cash</t>
        </is>
      </c>
      <c r="H82" s="129">
        <f>IFERROR(INDEX('SCENARIOS'!$C$117:$J$117,$C$7),0)</f>
        <v/>
      </c>
      <c r="I82" s="129">
        <f>IFERROR(INDEX('SCENARIOS'!$C$116:$J$116,$C$7),0)</f>
        <v/>
      </c>
      <c r="J82" s="129">
        <f>IFERROR(INDEX('SCENARIOS'!$C$118:$J$118,$C$7),0)</f>
        <v/>
      </c>
      <c r="K82" s="128">
        <f>$H82+$F82*0.000001</f>
        <v/>
      </c>
      <c r="L82" s="128">
        <f>($J82-$I82)+$F82*0.000001</f>
        <v/>
      </c>
    </row>
    <row r="83" ht="15.75" customHeight="1" s="95">
      <c r="F83" s="121" t="n">
        <v>14</v>
      </c>
      <c r="G83" s="121" t="inlineStr">
        <is>
          <t>Customer/law/cyber → cash</t>
        </is>
      </c>
      <c r="H83" s="129">
        <f>IFERROR(INDEX('SCENARIOS'!$C$120:$J$120,$C$7),0)</f>
        <v/>
      </c>
      <c r="I83" s="129">
        <f>IFERROR(INDEX('SCENARIOS'!$C$119:$J$119,$C$7),0)</f>
        <v/>
      </c>
      <c r="J83" s="129">
        <f>IFERROR(INDEX('SCENARIOS'!$C$121:$J$121,$C$7),0)</f>
        <v/>
      </c>
      <c r="K83" s="128">
        <f>$H83+$F83*0.000001</f>
        <v/>
      </c>
      <c r="L83" s="128">
        <f>($J83-$I83)+$F83*0.000001</f>
        <v/>
      </c>
    </row>
    <row r="84" ht="40.5" customHeight="1" s="95">
      <c r="F84" s="107" t="inlineStr">
        <is>
          <t>The Sort Key and Scatter Key contain the technical addition of 0.000001 × No., which breaks ties when selecting the top five items. It does not affect any amount shown to the user.</t>
        </is>
      </c>
    </row>
    <row r="85"/>
    <row r="86"/>
    <row r="87"/>
    <row r="88" ht="19.5" customHeight="1" s="95">
      <c r="A88" s="99" t="inlineStr">
        <is>
          <t xml:space="preserve">  SUPPORTING DATA - RTO AND MTPD OF SCENARIO PROCESSES</t>
        </is>
      </c>
      <c r="B88" s="100" t="n"/>
      <c r="C88" s="100" t="n"/>
      <c r="D88" s="100" t="n"/>
      <c r="E88" s="100" t="n"/>
      <c r="F88" s="100" t="n"/>
      <c r="G88" s="100" t="n"/>
      <c r="H88" s="100" t="n"/>
      <c r="I88" s="100" t="n"/>
      <c r="J88" s="100" t="n"/>
      <c r="K88" s="100" t="n"/>
      <c r="L88" s="100" t="n"/>
    </row>
    <row r="89" ht="24" customHeight="1" s="95">
      <c r="A89" s="119" t="n"/>
      <c r="B89" s="119" t="n"/>
      <c r="C89" s="119" t="n"/>
      <c r="D89" s="119" t="n"/>
      <c r="E89" s="119" t="n"/>
      <c r="F89" s="119" t="inlineStr">
        <is>
          <t>Process ID</t>
        </is>
      </c>
      <c r="G89" s="119" t="inlineStr">
        <is>
          <t>Participation in the scenario</t>
        </is>
      </c>
      <c r="H89" s="119" t="inlineStr">
        <is>
          <t>RTO (if covered)</t>
        </is>
      </c>
      <c r="I89" s="119" t="inlineStr">
        <is>
          <t>MTPD (if covered)</t>
        </is>
      </c>
      <c r="J89" s="119" t="n"/>
      <c r="K89" s="119" t="n"/>
      <c r="L89" s="119" t="n"/>
    </row>
    <row r="90" ht="15.75" customHeight="1" s="95">
      <c r="F90" s="121" t="inlineStr">
        <is>
          <t>P01</t>
        </is>
      </c>
      <c r="G90" s="146">
        <f>IFERROR(INDEX('SCENARIOS'!$C$19:$J$30,1,$C$7),0)</f>
        <v/>
      </c>
      <c r="H90" s="128">
        <f>IF(AND($G90&gt;0,'PROCESSES'!$V$6&lt;&gt;"",'PROCESSES'!$V$6&gt;0),'PROCESSES'!$V$6,"")</f>
        <v/>
      </c>
      <c r="I90" s="128">
        <f>IF(AND($G90&gt;0,'PROCESSES'!$U$6&lt;&gt;"",'PROCESSES'!$U$6&gt;0),'PROCESSES'!$U$6,"")</f>
        <v/>
      </c>
    </row>
    <row r="91" ht="15.75" customHeight="1" s="95">
      <c r="F91" s="121" t="inlineStr">
        <is>
          <t>P02</t>
        </is>
      </c>
      <c r="G91" s="146">
        <f>IFERROR(INDEX('SCENARIOS'!$C$19:$J$30,2,$C$7),0)</f>
        <v/>
      </c>
      <c r="H91" s="128">
        <f>IF(AND($G91&gt;0,'PROCESSES'!$V$7&lt;&gt;"",'PROCESSES'!$V$7&gt;0),'PROCESSES'!$V$7,"")</f>
        <v/>
      </c>
      <c r="I91" s="128">
        <f>IF(AND($G91&gt;0,'PROCESSES'!$U$7&lt;&gt;"",'PROCESSES'!$U$7&gt;0),'PROCESSES'!$U$7,"")</f>
        <v/>
      </c>
    </row>
    <row r="92" ht="15.75" customHeight="1" s="95">
      <c r="F92" s="121" t="inlineStr">
        <is>
          <t>P03</t>
        </is>
      </c>
      <c r="G92" s="146">
        <f>IFERROR(INDEX('SCENARIOS'!$C$19:$J$30,3,$C$7),0)</f>
        <v/>
      </c>
      <c r="H92" s="128">
        <f>IF(AND($G92&gt;0,'PROCESSES'!$V$8&lt;&gt;"",'PROCESSES'!$V$8&gt;0),'PROCESSES'!$V$8,"")</f>
        <v/>
      </c>
      <c r="I92" s="128">
        <f>IF(AND($G92&gt;0,'PROCESSES'!$U$8&lt;&gt;"",'PROCESSES'!$U$8&gt;0),'PROCESSES'!$U$8,"")</f>
        <v/>
      </c>
    </row>
    <row r="93" ht="15.75" customHeight="1" s="95">
      <c r="F93" s="121" t="inlineStr">
        <is>
          <t>P04</t>
        </is>
      </c>
      <c r="G93" s="146">
        <f>IFERROR(INDEX('SCENARIOS'!$C$19:$J$30,4,$C$7),0)</f>
        <v/>
      </c>
      <c r="H93" s="128">
        <f>IF(AND($G93&gt;0,'PROCESSES'!$V$9&lt;&gt;"",'PROCESSES'!$V$9&gt;0),'PROCESSES'!$V$9,"")</f>
        <v/>
      </c>
      <c r="I93" s="128">
        <f>IF(AND($G93&gt;0,'PROCESSES'!$U$9&lt;&gt;"",'PROCESSES'!$U$9&gt;0),'PROCESSES'!$U$9,"")</f>
        <v/>
      </c>
    </row>
    <row r="94" ht="15.75" customHeight="1" s="95">
      <c r="F94" s="121" t="inlineStr">
        <is>
          <t>P05</t>
        </is>
      </c>
      <c r="G94" s="146">
        <f>IFERROR(INDEX('SCENARIOS'!$C$19:$J$30,5,$C$7),0)</f>
        <v/>
      </c>
      <c r="H94" s="128">
        <f>IF(AND($G94&gt;0,'PROCESSES'!$V$10&lt;&gt;"",'PROCESSES'!$V$10&gt;0),'PROCESSES'!$V$10,"")</f>
        <v/>
      </c>
      <c r="I94" s="128">
        <f>IF(AND($G94&gt;0,'PROCESSES'!$U$10&lt;&gt;"",'PROCESSES'!$U$10&gt;0),'PROCESSES'!$U$10,"")</f>
        <v/>
      </c>
    </row>
    <row r="95" ht="15.75" customHeight="1" s="95">
      <c r="F95" s="121" t="inlineStr">
        <is>
          <t>P06</t>
        </is>
      </c>
      <c r="G95" s="146">
        <f>IFERROR(INDEX('SCENARIOS'!$C$19:$J$30,6,$C$7),0)</f>
        <v/>
      </c>
      <c r="H95" s="128">
        <f>IF(AND($G95&gt;0,'PROCESSES'!$V$11&lt;&gt;"",'PROCESSES'!$V$11&gt;0),'PROCESSES'!$V$11,"")</f>
        <v/>
      </c>
      <c r="I95" s="128">
        <f>IF(AND($G95&gt;0,'PROCESSES'!$U$11&lt;&gt;"",'PROCESSES'!$U$11&gt;0),'PROCESSES'!$U$11,"")</f>
        <v/>
      </c>
    </row>
    <row r="96" ht="15.75" customHeight="1" s="95">
      <c r="F96" s="121" t="inlineStr">
        <is>
          <t>P07</t>
        </is>
      </c>
      <c r="G96" s="146">
        <f>IFERROR(INDEX('SCENARIOS'!$C$19:$J$30,7,$C$7),0)</f>
        <v/>
      </c>
      <c r="H96" s="128">
        <f>IF(AND($G96&gt;0,'PROCESSES'!$V$12&lt;&gt;"",'PROCESSES'!$V$12&gt;0),'PROCESSES'!$V$12,"")</f>
        <v/>
      </c>
      <c r="I96" s="128">
        <f>IF(AND($G96&gt;0,'PROCESSES'!$U$12&lt;&gt;"",'PROCESSES'!$U$12&gt;0),'PROCESSES'!$U$12,"")</f>
        <v/>
      </c>
    </row>
    <row r="97" ht="15.75" customHeight="1" s="95">
      <c r="F97" s="121" t="inlineStr">
        <is>
          <t>P08</t>
        </is>
      </c>
      <c r="G97" s="146">
        <f>IFERROR(INDEX('SCENARIOS'!$C$19:$J$30,8,$C$7),0)</f>
        <v/>
      </c>
      <c r="H97" s="128">
        <f>IF(AND($G97&gt;0,'PROCESSES'!$V$13&lt;&gt;"",'PROCESSES'!$V$13&gt;0),'PROCESSES'!$V$13,"")</f>
        <v/>
      </c>
      <c r="I97" s="128">
        <f>IF(AND($G97&gt;0,'PROCESSES'!$U$13&lt;&gt;"",'PROCESSES'!$U$13&gt;0),'PROCESSES'!$U$13,"")</f>
        <v/>
      </c>
    </row>
    <row r="98" ht="15.75" customHeight="1" s="95">
      <c r="F98" s="121" t="inlineStr">
        <is>
          <t>P09</t>
        </is>
      </c>
      <c r="G98" s="146">
        <f>IFERROR(INDEX('SCENARIOS'!$C$19:$J$30,9,$C$7),0)</f>
        <v/>
      </c>
      <c r="H98" s="128">
        <f>IF(AND($G98&gt;0,'PROCESSES'!$V$14&lt;&gt;"",'PROCESSES'!$V$14&gt;0),'PROCESSES'!$V$14,"")</f>
        <v/>
      </c>
      <c r="I98" s="128">
        <f>IF(AND($G98&gt;0,'PROCESSES'!$U$14&lt;&gt;"",'PROCESSES'!$U$14&gt;0),'PROCESSES'!$U$14,"")</f>
        <v/>
      </c>
    </row>
    <row r="99" ht="15.75" customHeight="1" s="95">
      <c r="F99" s="121" t="inlineStr">
        <is>
          <t>P10</t>
        </is>
      </c>
      <c r="G99" s="146">
        <f>IFERROR(INDEX('SCENARIOS'!$C$19:$J$30,10,$C$7),0)</f>
        <v/>
      </c>
      <c r="H99" s="128">
        <f>IF(AND($G99&gt;0,'PROCESSES'!$V$15&lt;&gt;"",'PROCESSES'!$V$15&gt;0),'PROCESSES'!$V$15,"")</f>
        <v/>
      </c>
      <c r="I99" s="128">
        <f>IF(AND($G99&gt;0,'PROCESSES'!$U$15&lt;&gt;"",'PROCESSES'!$U$15&gt;0),'PROCESSES'!$U$15,"")</f>
        <v/>
      </c>
    </row>
    <row r="100" ht="15.75" customHeight="1" s="95">
      <c r="F100" s="121" t="inlineStr">
        <is>
          <t>P11</t>
        </is>
      </c>
      <c r="G100" s="146">
        <f>IFERROR(INDEX('SCENARIOS'!$C$19:$J$30,11,$C$7),0)</f>
        <v/>
      </c>
      <c r="H100" s="128">
        <f>IF(AND($G100&gt;0,'PROCESSES'!$V$16&lt;&gt;"",'PROCESSES'!$V$16&gt;0),'PROCESSES'!$V$16,"")</f>
        <v/>
      </c>
      <c r="I100" s="128">
        <f>IF(AND($G100&gt;0,'PROCESSES'!$U$16&lt;&gt;"",'PROCESSES'!$U$16&gt;0),'PROCESSES'!$U$16,"")</f>
        <v/>
      </c>
    </row>
    <row r="101" ht="15.75" customHeight="1" s="95">
      <c r="F101" s="121" t="inlineStr">
        <is>
          <t>P12</t>
        </is>
      </c>
      <c r="G101" s="146">
        <f>IFERROR(INDEX('SCENARIOS'!$C$19:$J$30,12,$C$7),0)</f>
        <v/>
      </c>
      <c r="H101" s="128">
        <f>IF(AND($G101&gt;0,'PROCESSES'!$V$17&lt;&gt;"",'PROCESSES'!$V$17&gt;0),'PROCESSES'!$V$17,"")</f>
        <v/>
      </c>
      <c r="I101" s="128">
        <f>IF(AND($G101&gt;0,'PROCESSES'!$U$17&lt;&gt;"",'PROCESSES'!$U$17&gt;0),'PROCESSES'!$U$17,"")</f>
        <v/>
      </c>
    </row>
  </sheetData>
  <mergeCells count="8">
    <mergeCell ref="C24:E24"/>
    <mergeCell ref="B53:E53"/>
    <mergeCell ref="A2:E2"/>
    <mergeCell ref="F84:K84"/>
    <mergeCell ref="B44:E44"/>
    <mergeCell ref="B67:E67"/>
    <mergeCell ref="B64:E65"/>
    <mergeCell ref="A3:E3"/>
  </mergeCells>
  <dataValidations count="1">
    <dataValidation sqref="C5" showDropDown="0" showInputMessage="0" showErrorMessage="0" allowBlank="1" errorTitle="Wartość spoza listy" error="Wybierz wartość z listy." type="list" errorStyle="stop" operator="between">
      <formula1>'LISTY POMOCNICZE'!$L$8:$L$15</formula1>
      <formula2>0</formula2>
    </dataValidation>
  </dataValidation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worksheet>
</file>

<file path=xl/worksheets/sheet12.xml><?xml version="1.0" encoding="utf-8"?>
<worksheet xmlns="http://schemas.openxmlformats.org/spreadsheetml/2006/main">
  <sheetPr filterMode="0">
    <tabColor rgb="FF0164FF"/>
    <outlinePr summaryBelow="1" summaryRight="1"/>
    <pageSetUpPr fitToPage="1"/>
  </sheetPr>
  <dimension ref="A1:E49"/>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 customWidth="1" style="94" min="1" max="1"/>
    <col width="44" customWidth="1" style="94" min="2" max="2"/>
    <col width="16" customWidth="1" style="94" min="3" max="5"/>
    <col width="2" customWidth="1" style="94" min="6" max="6"/>
  </cols>
  <sheetData>
    <row r="1"/>
    <row r="2" ht="24" customHeight="1" s="95">
      <c r="B2" s="117" t="inlineStr">
        <is>
          <t>IT DOWNTIME COST – SUMMARY</t>
        </is>
      </c>
    </row>
    <row r="3" ht="15" customHeight="1" s="95">
      <c r="B3" s="97">
        <f>IF('DASHBOARD'!$C$6="","Scenariusz: (nienazwany)","Scenariusz: "&amp;'DASHBOARD'!$C$6)</f>
        <v/>
      </c>
    </row>
    <row r="4" ht="15" customHeight="1" s="95">
      <c r="B4" s="159">
        <f>IF('COMPANY PROFILE'!$D$7="","Organizacja: (nie podano)","Organizacja: "&amp;'COMPANY PROFILE'!$D$7)&amp;"   ·   "&amp;IF('COMPANY PROFILE'!$D$8="","Data analizy: (nie podano)","Data analizy: "&amp;'COMPANY PROFILE'!$D$8)</f>
        <v/>
      </c>
    </row>
    <row r="5" ht="15" customHeight="1" s="95">
      <c r="B5" s="98">
        <f>"Podstawa kosztowa: "&amp;IF('COMPANY PROFILE'!$D$24="","(nie wybrano)",'COMPANY PROFILE'!$D$24)&amp;"   ·   waluta PLN   ·   wersja narzędzia 1.0"</f>
        <v/>
      </c>
    </row>
    <row r="6"/>
    <row r="7" ht="19.5" customHeight="1" s="95">
      <c r="A7" s="99" t="inlineStr">
        <is>
          <t xml:space="preserve">  RESULT OF ONE EVENT</t>
        </is>
      </c>
      <c r="B7" s="100" t="n"/>
      <c r="C7" s="100" t="n"/>
      <c r="D7" s="100" t="n"/>
      <c r="E7" s="100" t="n"/>
    </row>
    <row r="8" ht="19.5" customHeight="1" s="95">
      <c r="A8" s="119" t="n"/>
      <c r="B8" s="119" t="inlineStr">
        <is>
          <t>Perspective</t>
        </is>
      </c>
      <c r="C8" s="119" t="inlineStr">
        <is>
          <t>Low</t>
        </is>
      </c>
      <c r="D8" s="119" t="inlineStr">
        <is>
          <t>Base</t>
        </is>
      </c>
      <c r="E8" s="119" t="inlineStr">
        <is>
          <t>High</t>
        </is>
      </c>
    </row>
    <row r="9" ht="27.75" customHeight="1" s="95">
      <c r="B9" s="130" t="inlineStr">
        <is>
          <t>IMPACT ON FINANCIAL RESULT (P&amp;L)</t>
        </is>
      </c>
      <c r="C9" s="162">
        <f>'DASHBOARD'!C11</f>
        <v/>
      </c>
      <c r="D9" s="162">
        <f>'DASHBOARD'!D11</f>
        <v/>
      </c>
      <c r="E9" s="162">
        <f>'DASHBOARD'!E11</f>
        <v/>
      </c>
    </row>
    <row r="10" ht="24" customHeight="1" s="95">
      <c r="B10" s="121" t="inlineStr">
        <is>
          <t>including cash cost (incremental)</t>
        </is>
      </c>
      <c r="C10" s="129">
        <f>'DASHBOARD'!C12</f>
        <v/>
      </c>
      <c r="D10" s="129">
        <f>'DASHBOARD'!D12</f>
        <v/>
      </c>
      <c r="E10" s="129">
        <f>'DASHBOARD'!E12</f>
        <v/>
      </c>
    </row>
    <row r="11" ht="24" customHeight="1" s="95">
      <c r="B11" s="121" t="inlineStr">
        <is>
          <t>Lost operational capability (KPI - do not aggregate with P&amp;L)</t>
        </is>
      </c>
      <c r="C11" s="129">
        <f>'DASHBOARD'!C13</f>
        <v/>
      </c>
      <c r="D11" s="129">
        <f>'DASHBOARD'!D13</f>
        <v/>
      </c>
      <c r="E11" s="129">
        <f>'DASHBOARD'!E13</f>
        <v/>
      </c>
    </row>
    <row r="12" ht="24" customHeight="1" s="95">
      <c r="B12" s="121" t="inlineStr">
        <is>
          <t>Contingent exposures (beyond underlying result)</t>
        </is>
      </c>
      <c r="C12" s="129">
        <f>'DASHBOARD'!C14</f>
        <v/>
      </c>
      <c r="D12" s="129">
        <f>'DASHBOARD'!D14</f>
        <v/>
      </c>
      <c r="E12" s="129">
        <f>'DASHBOARD'!E14</f>
        <v/>
      </c>
    </row>
    <row r="13" ht="24" customHeight="1" s="95">
      <c r="B13" s="121" t="inlineStr">
        <is>
          <t>Potential recoveries (informative, not deducted)</t>
        </is>
      </c>
      <c r="C13" s="129">
        <f>'DASHBOARD'!C15</f>
        <v/>
      </c>
      <c r="D13" s="129">
        <f>'DASHBOARD'!D15</f>
        <v/>
      </c>
      <c r="E13" s="129">
        <f>'DASHBOARD'!E15</f>
        <v/>
      </c>
    </row>
    <row r="14"/>
    <row r="15" ht="19.5" customHeight="1" s="95">
      <c r="A15" s="99" t="inlineStr">
        <is>
          <t xml:space="preserve">  TIME, RTO AND ANNUAL EXPOSURE</t>
        </is>
      </c>
      <c r="B15" s="100" t="n"/>
      <c r="C15" s="100" t="n"/>
      <c r="D15" s="100" t="n"/>
      <c r="E15" s="100" t="n"/>
    </row>
    <row r="16" ht="18" customHeight="1" s="95">
      <c r="B16" s="121" t="inlineStr">
        <is>
          <t>Event calendar time [h]</t>
        </is>
      </c>
      <c r="C16" s="128">
        <f>'DASHBOARD'!$C$19</f>
        <v/>
      </c>
    </row>
    <row r="17" ht="18" customHeight="1" s="95">
      <c r="B17" s="121" t="inlineStr">
        <is>
          <t>Effective downtime hours [h]</t>
        </is>
      </c>
      <c r="C17" s="128">
        <f>'DASHBOARD'!$C$20</f>
        <v/>
      </c>
    </row>
    <row r="18" ht="18" customHeight="1" s="95">
      <c r="B18" s="121" t="inlineStr">
        <is>
          <t>Shortest RTO among processes covered [h]</t>
        </is>
      </c>
      <c r="C18" s="128">
        <f>'DASHBOARD'!$C$21</f>
        <v/>
      </c>
    </row>
    <row r="19" ht="18" customHeight="1" s="95">
      <c r="B19" s="121" t="inlineStr">
        <is>
          <t>The shortest MTPD / MAO among the processes covered [h]</t>
        </is>
      </c>
      <c r="C19" s="128">
        <f>'DASHBOARD'!$C$22</f>
        <v/>
      </c>
    </row>
    <row r="20" ht="18" customHeight="1" s="95">
      <c r="B20" s="121" t="inlineStr">
        <is>
          <t>Is the event above the acceptable threshold?</t>
        </is>
      </c>
      <c r="C20" s="157">
        <f>'DASHBOARD'!$C$24</f>
        <v/>
      </c>
      <c r="D20" s="163" t="n"/>
      <c r="E20" s="164" t="n"/>
    </row>
    <row r="21" ht="18" customHeight="1" s="95">
      <c r="B21" s="130" t="inlineStr">
        <is>
          <t>Expected annual loss (P&amp;L) - base [PLN/year]</t>
        </is>
      </c>
      <c r="C21" s="140">
        <f>'DASHBOARD'!$C$25</f>
        <v/>
      </c>
    </row>
    <row r="22"/>
    <row r="23" ht="19.5" customHeight="1" s="95">
      <c r="A23" s="99" t="inlineStr">
        <is>
          <t xml:space="preserve">  FIVE MOST IMPORTANT RESULT COMPONENTS</t>
        </is>
      </c>
      <c r="B23" s="100" t="n"/>
      <c r="C23" s="100" t="n"/>
      <c r="D23" s="100" t="n"/>
      <c r="E23" s="100" t="n"/>
    </row>
    <row r="24" ht="18" customHeight="1" s="95">
      <c r="B24" s="121">
        <f>'DASHBOARD'!$B$29</f>
        <v/>
      </c>
      <c r="C24" s="129">
        <f>'DASHBOARD'!$C$29</f>
        <v/>
      </c>
      <c r="D24" s="165">
        <f>'DASHBOARD'!$D$29</f>
        <v/>
      </c>
    </row>
    <row r="25" ht="18" customHeight="1" s="95">
      <c r="B25" s="121">
        <f>'DASHBOARD'!$B$30</f>
        <v/>
      </c>
      <c r="C25" s="129">
        <f>'DASHBOARD'!$C$30</f>
        <v/>
      </c>
      <c r="D25" s="165">
        <f>'DASHBOARD'!$D$30</f>
        <v/>
      </c>
    </row>
    <row r="26" ht="18" customHeight="1" s="95">
      <c r="B26" s="121">
        <f>'DASHBOARD'!$B$31</f>
        <v/>
      </c>
      <c r="C26" s="129">
        <f>'DASHBOARD'!$C$31</f>
        <v/>
      </c>
      <c r="D26" s="165">
        <f>'DASHBOARD'!$D$31</f>
        <v/>
      </c>
    </row>
    <row r="27" ht="18" customHeight="1" s="95">
      <c r="B27" s="121">
        <f>'DASHBOARD'!$B$32</f>
        <v/>
      </c>
      <c r="C27" s="129">
        <f>'DASHBOARD'!$C$32</f>
        <v/>
      </c>
      <c r="D27" s="165">
        <f>'DASHBOARD'!$D$32</f>
        <v/>
      </c>
    </row>
    <row r="28" ht="18" customHeight="1" s="95">
      <c r="B28" s="121">
        <f>'DASHBOARD'!$B$33</f>
        <v/>
      </c>
      <c r="C28" s="129">
        <f>'DASHBOARD'!$C$33</f>
        <v/>
      </c>
      <c r="D28" s="165">
        <f>'DASHBOARD'!$D$33</f>
        <v/>
      </c>
    </row>
    <row r="29"/>
    <row r="30" ht="19.5" customHeight="1" s="95">
      <c r="A30" s="99" t="inlineStr">
        <is>
          <t xml:space="preserve">  THREE BIGGEST DATA GAPS</t>
        </is>
      </c>
      <c r="B30" s="100" t="n"/>
      <c r="C30" s="100" t="n"/>
      <c r="D30" s="100" t="n"/>
      <c r="E30" s="100" t="n"/>
    </row>
    <row r="31" ht="18" customHeight="1" s="95">
      <c r="B31" s="121" t="inlineStr">
        <is>
          <t>Items included in the result without a base value</t>
        </is>
      </c>
      <c r="C31" s="161">
        <f>'DASHBOARD'!$C$57</f>
        <v/>
      </c>
    </row>
    <row r="32" ht="18" customHeight="1" s="95">
      <c r="B32" s="121" t="inlineStr">
        <is>
          <t>Exposures recognized but not counted</t>
        </is>
      </c>
      <c r="C32" s="161">
        <f>'DASHBOARD'!$C$58</f>
        <v/>
      </c>
    </row>
    <row r="33" ht="18" customHeight="1" s="95">
      <c r="B33" s="121" t="inlineStr">
        <is>
          <t>Open QA control warnings</t>
        </is>
      </c>
      <c r="C33" s="161">
        <f>'DASHBOARD'!$C$60</f>
        <v/>
      </c>
    </row>
    <row r="34" ht="15" customHeight="1" s="95">
      <c r="B34" s="130" t="inlineStr">
        <is>
          <t>Data completeness assessment</t>
        </is>
      </c>
      <c r="C34" s="166">
        <f>'DASHBOARD'!$C$61</f>
        <v/>
      </c>
    </row>
    <row r="35"/>
    <row r="36" ht="19.5" customHeight="1" s="95">
      <c r="A36" s="99" t="inlineStr">
        <is>
          <t xml:space="preserve">  VARIANT AFTER RISK MITIGATION MEASURES</t>
        </is>
      </c>
      <c r="B36" s="100" t="n"/>
      <c r="C36" s="100" t="n"/>
      <c r="D36" s="100" t="n"/>
      <c r="E36" s="100" t="n"/>
    </row>
    <row r="37" ht="18" customHeight="1" s="95">
      <c r="B37" s="121" t="inlineStr">
        <is>
          <t>Action considered</t>
        </is>
      </c>
      <c r="C37" s="136">
        <f>IF('RISK AND ROI'!$D$20="","(nie podano)",'RISK AND ROI'!$D$20)</f>
        <v/>
      </c>
    </row>
    <row r="38" ht="18" customHeight="1" s="95">
      <c r="B38" s="121" t="inlineStr">
        <is>
          <t>Annual exposure avoided (baseline)</t>
        </is>
      </c>
      <c r="C38" s="129">
        <f>'RISK AND ROI'!$D$24</f>
        <v/>
      </c>
    </row>
    <row r="39" ht="18" customHeight="1" s="95">
      <c r="B39" s="121" t="inlineStr">
        <is>
          <t>One-time cost</t>
        </is>
      </c>
      <c r="C39" s="129">
        <f>'RISK AND ROI'!$D$21</f>
        <v/>
      </c>
    </row>
    <row r="40" ht="18" customHeight="1" s="95">
      <c r="B40" s="121" t="inlineStr">
        <is>
          <t>Annual maintenance cost</t>
        </is>
      </c>
      <c r="C40" s="129">
        <f>'RISK AND ROI'!$D$22</f>
        <v/>
      </c>
    </row>
    <row r="41" ht="18" customHeight="1" s="95">
      <c r="B41" s="121" t="inlineStr">
        <is>
          <t>Net effect in year 1</t>
        </is>
      </c>
      <c r="C41" s="129">
        <f>'RISK AND ROI'!$D$26</f>
        <v/>
      </c>
    </row>
    <row r="42" ht="18" customHeight="1" s="95">
      <c r="B42" s="121" t="inlineStr">
        <is>
          <t>ROI run-rate</t>
        </is>
      </c>
      <c r="C42" s="165">
        <f>'RISK AND ROI'!$D$29</f>
        <v/>
      </c>
    </row>
    <row r="43" ht="18" customHeight="1" s="95">
      <c r="B43" s="121" t="inlineStr">
        <is>
          <t>Payback period [months]</t>
        </is>
      </c>
      <c r="C43" s="136">
        <f>'RISK AND ROI'!$D$30</f>
        <v/>
      </c>
    </row>
    <row r="44" ht="30" customHeight="1" s="95">
      <c r="B44" s="121" t="inlineStr">
        <is>
          <t>Conclusion</t>
        </is>
      </c>
      <c r="C44" s="157">
        <f>'RISK AND ROI'!$D$31</f>
        <v/>
      </c>
      <c r="D44" s="163" t="n"/>
      <c r="E44" s="164" t="n"/>
    </row>
    <row r="45"/>
    <row r="46" ht="52.5" customHeight="1" s="95">
      <c r="B46" s="107" t="inlineStr">
        <is>
          <t>The result is an estimation based solely on the data and assumptions entered by the user. It does not constitute an offer, valuation, audit or accounting, legal or insurance advice. The actual impact depends on processes, contracts, taxes, insurance, ability to catch up and the course of the event. Confirm investment decisions with finance, operations, IT and, if necessary, your lawyer or insurer.</t>
        </is>
      </c>
    </row>
    <row r="47"/>
    <row r="48" ht="15" customHeight="1" s="95">
      <c r="B48" s="168" t="inlineStr">
        <is>
          <t>Do you want to check where your company can realistically stand? Schedule a free IT inspection.</t>
        </is>
      </c>
      <c r="C48" s="113" t="n"/>
      <c r="D48" s="113" t="n"/>
      <c r="E48" s="113" t="n"/>
    </row>
    <row r="49" ht="15" customHeight="1" s="95">
      <c r="B49" s="115" t="inlineStr">
        <is>
          <t>NEXAIT sp. z o.o. · nexait.pl · office@nexait.pl · +48 535 040 361</t>
        </is>
      </c>
      <c r="C49" s="113" t="n"/>
      <c r="D49" s="113" t="n"/>
      <c r="E49" s="113" t="n"/>
    </row>
  </sheetData>
  <mergeCells count="3">
    <mergeCell ref="C20:E20"/>
    <mergeCell ref="B46:E46"/>
    <mergeCell ref="C44:E44"/>
  </mergeCell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worksheet>
</file>

<file path=xl/worksheets/sheet13.xml><?xml version="1.0" encoding="utf-8"?>
<worksheet xmlns="http://schemas.openxmlformats.org/spreadsheetml/2006/main">
  <sheetPr filterMode="0">
    <tabColor rgb="FF0164FF"/>
    <outlinePr summaryBelow="1" summaryRight="1"/>
    <pageSetUpPr fitToPage="0"/>
  </sheetPr>
  <dimension ref="A1:D66"/>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4" customWidth="1" style="94" min="1" max="1"/>
    <col width="34" customWidth="1" style="94" min="2" max="2"/>
    <col width="76" customWidth="1" style="94" min="3" max="3"/>
    <col width="46" customWidth="1" style="94" min="4" max="4"/>
  </cols>
  <sheetData>
    <row r="1" ht="15" customHeight="1" s="95">
      <c r="A1" s="116" t="inlineStr">
        <is>
          <t>NexaIT</t>
        </is>
      </c>
    </row>
    <row r="2" ht="24" customHeight="1" s="95">
      <c r="A2" s="117" t="inlineStr">
        <is>
          <t>Dictionary and methods</t>
        </is>
      </c>
    </row>
    <row r="3" ht="16.5" customHeight="1" s="95">
      <c r="A3" s="118" t="inlineStr">
        <is>
          <t>Definitions, formulas and warnings. Each business formula used in the file is described and indicated here, down to the tab and column.</t>
        </is>
      </c>
    </row>
    <row r="4"/>
    <row r="5" ht="19.5" customHeight="1" s="95">
      <c r="A5" s="99" t="inlineStr">
        <is>
          <t xml:space="preserve">  DEFINICJE</t>
        </is>
      </c>
      <c r="B5" s="100" t="n"/>
      <c r="C5" s="100" t="n"/>
      <c r="D5" s="100" t="n"/>
    </row>
    <row r="6" ht="19.5" customHeight="1" s="95">
      <c r="A6" s="119" t="n"/>
      <c r="B6" s="119" t="inlineStr">
        <is>
          <t>Concept</t>
        </is>
      </c>
      <c r="C6" s="119" t="inlineStr">
        <is>
          <t>Meaning</t>
        </is>
      </c>
      <c r="D6" s="119" t="n"/>
    </row>
    <row r="7" ht="30" customHeight="1" s="95">
      <c r="B7" s="130" t="inlineStr">
        <is>
          <t>MTPD/MAO</t>
        </is>
      </c>
      <c r="C7" s="169" t="inlineStr">
        <is>
          <t>Maximum allowable pause time. Once it is exceeded, the consequences for the organization become unacceptable. It sets the upper limit for RTO. Source: ISO 22301, NIST SP 800-34 Rev.1 (as MTD).</t>
        </is>
      </c>
    </row>
    <row r="8" ht="30" customHeight="1" s="95">
      <c r="B8" s="130" t="inlineStr">
        <is>
          <t>RTO</t>
        </is>
      </c>
      <c r="C8" s="169" t="inlineStr">
        <is>
          <t>Target time to restore the resource or service. It must be shorter than MTPD, because after technical restoration there is still time to reconcile the data and catch up.</t>
        </is>
      </c>
    </row>
    <row r="9" ht="30" customHeight="1" s="95">
      <c r="B9" s="130" t="inlineStr">
        <is>
          <t>RPO</t>
        </is>
      </c>
      <c r="C9" s="169" t="inlineStr">
        <is>
          <t>The point in time to which data can be restored - that is, how much work actually disappears. Unlike RTO, RPO is not part of the maximum allowable downtime.</t>
        </is>
      </c>
    </row>
    <row r="10" ht="30" customHeight="1" s="95">
      <c r="B10" s="130" t="inlineStr">
        <is>
          <t>MBCO</t>
        </is>
      </c>
      <c r="C10" s="169" t="inlineStr">
        <is>
          <t>The minimum level of service or production that an organization will accept during a disruption before recovering.</t>
        </is>
      </c>
    </row>
    <row r="11" ht="30" customHeight="1" s="95">
      <c r="B11" s="130" t="inlineStr">
        <is>
          <t>Contribution Margin</t>
        </is>
      </c>
      <c r="C11" s="169" t="inlineStr">
        <is>
          <t>Revenue minus variable costs. This is what disappears when sales are lost - not the entire revenue, because variable costs disappear along with it.</t>
        </is>
      </c>
    </row>
    <row r="12" ht="30" customHeight="1" s="95">
      <c r="B12" s="130" t="inlineStr">
        <is>
          <t>Effective downtime hours</t>
        </is>
      </c>
      <c r="C12" s="169" t="inlineStr">
        <is>
          <t>Sum over phases: phase time × capacity loss × (1 − bypass capacity). This is not the same as the duration of the failure.</t>
        </is>
      </c>
    </row>
    <row r="13" ht="30" customHeight="1" s="95">
      <c r="B13" s="130" t="inlineStr">
        <is>
          <t>Lost operational capability</t>
        </is>
      </c>
      <c r="C13" s="169" t="inlineStr">
        <is>
          <t>Value of people's paid but unused time. Operational KPI. It does not enter into P&amp;L because remuneration is incurred regardless of the failure.</t>
        </is>
      </c>
    </row>
    <row r="14" ht="30" customHeight="1" s="95">
      <c r="B14" s="130" t="inlineStr">
        <is>
          <t>Incremental cost (cash)</t>
        </is>
      </c>
      <c r="C14" s="169" t="inlineStr">
        <is>
          <t>Only the money that will flow out of the company ADDITIONALLY due to the event: overtime, external service, equipment, express, penalties.</t>
        </is>
      </c>
    </row>
    <row r="15" ht="30" customHeight="1" s="95">
      <c r="B15" s="130" t="inlineStr">
        <is>
          <t>Conditional exposure</t>
        </is>
      </c>
      <c r="C15" s="169" t="inlineStr">
        <is>
          <t>Effect that may occur: penalty, claim, customer departure. It enters the extended score as amount × probability and only when consciously incorporated.</t>
        </is>
      </c>
    </row>
    <row r="16" ht="30" customHeight="1" s="95">
      <c r="B16" s="130" t="inlineStr">
        <is>
          <t>Deferred sale</t>
        </is>
      </c>
      <c r="C16" s="169" t="inlineStr">
        <is>
          <t>Sale that will come back later. It is not lost margin. It generates financing costs, catch-up costs and a possible discount.</t>
        </is>
      </c>
    </row>
    <row r="17" ht="30" customHeight="1" s="95">
      <c r="B17" s="130" t="inlineStr">
        <is>
          <t>Expected annual loss</t>
        </is>
      </c>
      <c r="C17" s="169" t="inlineStr">
        <is>
          <t>Cost per event × expected frequency per year. A risk measure, not an expense forecast.</t>
        </is>
      </c>
    </row>
    <row r="18" ht="30" customHeight="1" s="95">
      <c r="B18" s="130" t="inlineStr">
        <is>
          <t>Avoided exposure</t>
        </is>
      </c>
      <c r="C18" s="169" t="inlineStr">
        <is>
          <t>Difference of annual loss before and after the action. This is risk reduction, not cash savings.</t>
        </is>
      </c>
    </row>
    <row r="19" ht="30" customHeight="1" s="95">
      <c r="B19" s="130" t="inlineStr">
        <is>
          <t>Exclusion group</t>
        </is>
      </c>
      <c r="C19" s="169" t="inlineStr">
        <is>
          <t>A label that combines lines describing the SAME loss. Only one row from a group can have "Enter in result = YES".</t>
        </is>
      </c>
    </row>
    <row r="20" ht="30" customHeight="1" s="95">
      <c r="B20" s="130" t="inlineStr">
        <is>
          <t>SUROGAT</t>
        </is>
      </c>
      <c r="C20" s="169" t="inlineStr">
        <is>
          <t>A situation in which the process does not have a margin valuation method (e.g. school, office, support process). The only measure then is lost operational capacity.</t>
        </is>
      </c>
    </row>
    <row r="21"/>
    <row r="22"/>
    <row r="23" ht="19.5" customHeight="1" s="95">
      <c r="A23" s="99" t="inlineStr">
        <is>
          <t xml:space="preserve">  FORMULA CATALOG</t>
        </is>
      </c>
      <c r="B23" s="100" t="n"/>
      <c r="C23" s="100" t="n"/>
      <c r="D23" s="100" t="n"/>
    </row>
    <row r="24" ht="19.5" customHeight="1" s="95">
      <c r="A24" s="119" t="n"/>
      <c r="B24" s="119" t="inlineStr">
        <is>
          <t>Size</t>
        </is>
      </c>
      <c r="C24" s="119" t="inlineStr">
        <is>
          <t>Formula</t>
        </is>
      </c>
      <c r="D24" s="119" t="inlineStr">
        <is>
          <t>Where in the file</t>
        </is>
      </c>
    </row>
    <row r="25" ht="30" customHeight="1" s="95">
      <c r="B25" s="130" t="inlineStr">
        <is>
          <t>Effective downtime hours H(s)</t>
        </is>
      </c>
      <c r="C25" s="169" t="inlineStr">
        <is>
          <t>SUM over phases: phase time × capacity loss × (1 − bypass capacity)</t>
        </is>
      </c>
      <c r="D25" s="169" t="inlineStr">
        <is>
          <t>SCENARIOS, I:K columns (phases) → M:O columns (scenarios headers)</t>
        </is>
      </c>
    </row>
    <row r="26" ht="30" customHeight="1" s="95">
      <c r="B26" s="130" t="inlineStr">
        <is>
          <t>Effective process hours</t>
        </is>
      </c>
      <c r="C26" s="169" t="inlineStr">
        <is>
          <t>share of process affected by the event × H(s)</t>
        </is>
      </c>
      <c r="D26" s="169" t="inlineStr">
        <is>
          <t>SCENARIOS, C19:J30 coverage matrix</t>
        </is>
      </c>
    </row>
    <row r="27" ht="30" customHeight="1" s="95">
      <c r="B27" s="130" t="inlineStr">
        <is>
          <t>Margin per process hour</t>
        </is>
      </c>
      <c r="C27" s="169" t="inlineStr">
        <is>
          <t>depending on the method: revenue/h × margin% OR units/h × margin per unit OR share billable × margin per hour billable OR manual value</t>
        </is>
      </c>
      <c r="D27" s="169" t="inlineStr">
        <is>
          <t>PROCESSES, column O</t>
        </is>
      </c>
    </row>
    <row r="28" ht="30" customHeight="1" s="95">
      <c r="B28" s="130" t="inlineStr">
        <is>
          <t>Lost scenario margin</t>
        </is>
      </c>
      <c r="C28" s="169" t="inlineStr">
        <is>
          <t>H(s) × SUM after processes (share × margin per hour × irrecoverable share)</t>
        </is>
      </c>
      <c r="D28" s="169" t="inlineStr">
        <is>
          <t>SCENARIOS, "Lost Margin" lines</t>
        </is>
      </c>
    </row>
    <row r="29" ht="30" customHeight="1" s="95">
      <c r="B29" s="130" t="inlineStr">
        <is>
          <t>Lost operational capability</t>
        </is>
      </c>
      <c r="C29" s="169" t="inlineStr">
        <is>
          <t>H(s) × SUM after processes (participation × number of people × full cost of the employer's hour)</t>
        </is>
      </c>
      <c r="D29" s="169" t="inlineStr">
        <is>
          <t>SCENARIOS, "Lost Operational Capability (Engine)" Lines</t>
        </is>
      </c>
    </row>
    <row r="30" ht="30" customHeight="1" s="95">
      <c r="B30" s="130" t="inlineStr">
        <is>
          <t>Impact on P&amp;L</t>
        </is>
      </c>
      <c r="C30" s="169" t="inlineStr">
        <is>
          <t>lost margin + cash costs + non-cash P&amp;L effects + data→cash + customer→cash</t>
        </is>
      </c>
      <c r="D30" s="169" t="inlineStr">
        <is>
          <t>SCENARIOS, "IMPACT ON FINANCIAL RESULT" lines</t>
        </is>
      </c>
    </row>
    <row r="31" ht="30" customHeight="1" s="95">
      <c r="B31" s="130" t="inlineStr">
        <is>
          <t>Cost of re-entering data</t>
        </is>
      </c>
      <c r="C31" s="169" t="inlineStr">
        <is>
          <t>number of records × minutes per record ÷ 60 × cost per person per hour (+ separate hours of arrangements)</t>
        </is>
      </c>
      <c r="D31" s="169" t="inlineStr">
        <is>
          <t>DATA AND PLAYBACK, O:Q columns</t>
        </is>
      </c>
    </row>
    <row r="32" ht="30" customHeight="1" s="95">
      <c r="B32" s="130" t="inlineStr">
        <is>
          <t>Deferral financing cost</t>
        </is>
      </c>
      <c r="C32" s="169" t="inlineStr">
        <is>
          <t>deferred impact value × days of delay ÷ 365 × annual financing rate</t>
        </is>
      </c>
      <c r="D32" s="169" t="inlineStr">
        <is>
          <t>SPECIFIC COSTS ('Deferral Financing' method); foot: COMPANY PROFILE PF-19</t>
        </is>
      </c>
    </row>
    <row r="33" ht="30" customHeight="1" s="95">
      <c r="B33" s="130" t="inlineStr">
        <is>
          <t>Conditional exposure</t>
        </is>
      </c>
      <c r="C33" s="169" t="inlineStr">
        <is>
          <t>Exposure amount × probability, only with "Enter in result = YES"</t>
        </is>
      </c>
      <c r="D33" s="169" t="inlineStr">
        <is>
          <t>CUSTOMER CYBER LAW, M:O and DETAILED COST columns, CONDITIONAL perspective</t>
        </is>
      </c>
    </row>
    <row r="34" ht="30" customHeight="1" s="95">
      <c r="B34" s="130" t="inlineStr">
        <is>
          <t>Expected annual loss</t>
        </is>
      </c>
      <c r="C34" s="169" t="inlineStr">
        <is>
          <t>P&amp;L impact × frequency (events per year or probability per year - one of two)</t>
        </is>
      </c>
      <c r="D34" s="169" t="inlineStr">
        <is>
          <t>SCENARIOS, "Expected Annual Loss" lines</t>
        </is>
      </c>
    </row>
    <row r="35" ht="30" customHeight="1" s="95">
      <c r="B35" s="130" t="inlineStr">
        <is>
          <t>Post-action event cost</t>
        </is>
      </c>
      <c r="C35" s="169" t="inlineStr">
        <is>
          <t>time-dependent part × (1 − time reduction) + independent part × (1 − impact reduction)</t>
        </is>
      </c>
      <c r="D35" s="169" t="inlineStr">
        <is>
          <t>RISK AND ROI, column O</t>
        </is>
      </c>
    </row>
    <row r="36" ht="30" customHeight="1" s="95">
      <c r="B36" s="130" t="inlineStr">
        <is>
          <t>1-year exposure avoided</t>
        </is>
      </c>
      <c r="C36" s="169" t="inlineStr">
        <is>
          <t>annual loss before − annual loss after</t>
        </is>
      </c>
      <c r="D36" s="169" t="inlineStr">
        <is>
          <t>RISK AND ROI, D23:D25</t>
        </is>
      </c>
    </row>
    <row r="37" ht="30" customHeight="1" s="95">
      <c r="B37" s="130" t="inlineStr">
        <is>
          <t>Net effect in year 1</t>
        </is>
      </c>
      <c r="C37" s="169" t="inlineStr">
        <is>
          <t>exposure avoided − one-off cost − 1st year maintenance</t>
        </is>
      </c>
      <c r="D37" s="169" t="inlineStr">
        <is>
          <t>RISK AND ROI, D26</t>
        </is>
      </c>
    </row>
    <row r="38" ht="30" customHeight="1" s="95">
      <c r="B38" s="130" t="inlineStr">
        <is>
          <t>ROI in year 1</t>
        </is>
      </c>
      <c r="C38" s="169" t="inlineStr">
        <is>
          <t>net effect of year 1 ÷ (one-off cost + maintenance in year 1)</t>
        </is>
      </c>
      <c r="D38" s="169" t="inlineStr">
        <is>
          <t>RISK AND ROI, D27</t>
        </is>
      </c>
    </row>
    <row r="39" ht="30" customHeight="1" s="95">
      <c r="B39" s="130" t="inlineStr">
        <is>
          <t>Net run-rate effect</t>
        </is>
      </c>
      <c r="C39" s="169" t="inlineStr">
        <is>
          <t>avoided exposure − annual maintenance cost</t>
        </is>
      </c>
      <c r="D39" s="169" t="inlineStr">
        <is>
          <t>RISK AND ROI, D28</t>
        </is>
      </c>
    </row>
    <row r="40" ht="30" customHeight="1" s="95">
      <c r="B40" s="130" t="inlineStr">
        <is>
          <t>ROI run-rate</t>
        </is>
      </c>
      <c r="C40" s="169" t="inlineStr">
        <is>
          <t>net effect of run-rate ÷ annual maintenance cost (0 → "not applicable")</t>
        </is>
      </c>
      <c r="D40" s="169" t="inlineStr">
        <is>
          <t>RISK AND ROI, D29</t>
        </is>
      </c>
    </row>
    <row r="41" ht="30" customHeight="1" s="95">
      <c r="B41" s="130" t="inlineStr">
        <is>
          <t>Return period</t>
        </is>
      </c>
      <c r="C41" s="169" t="inlineStr">
        <is>
          <t>one-time cost ÷ (net effect run-rate ÷ 12)</t>
        </is>
      </c>
      <c r="D41" s="169" t="inlineStr">
        <is>
          <t>RISK AND ROI, D30</t>
        </is>
      </c>
    </row>
    <row r="42" ht="30" customHeight="1" s="95">
      <c r="B42" s="130" t="inlineStr">
        <is>
          <t>Qualified loss under the policy</t>
        </is>
      </c>
      <c r="C42" s="169" t="inlineStr">
        <is>
          <t>time franchise: P&amp;L × max(0, (H − waiting period) ÷ H); trigger back: entire P&amp;L when H ≥ waiting period</t>
        </is>
      </c>
      <c r="D42" s="169" t="inlineStr">
        <is>
          <t>RISK AND ROI, D46</t>
        </is>
      </c>
    </row>
    <row r="43" ht="30" customHeight="1" s="95">
      <c r="B43" s="130" t="inlineStr">
        <is>
          <t>Expected recovery</t>
        </is>
      </c>
      <c r="C43" s="169" t="inlineStr">
        <is>
          <t>max(0, min(limit, qualified loss − own contribution)) × payout probability</t>
        </is>
      </c>
      <c r="D43" s="169" t="inlineStr">
        <is>
          <t>RISK AND ROI, D47</t>
        </is>
      </c>
    </row>
    <row r="44"/>
    <row r="45"/>
    <row r="46" ht="19.5" customHeight="1" s="95">
      <c r="A46" s="99" t="inlineStr">
        <is>
          <t xml:space="preserve">  TWELVE RULES AGAINST DOUBLE COUNTING</t>
        </is>
      </c>
      <c r="B46" s="100" t="n"/>
      <c r="C46" s="100" t="n"/>
      <c r="D46" s="100" t="n"/>
    </row>
    <row r="47" ht="16.5" customHeight="1" s="95">
      <c r="B47" s="132" t="inlineStr">
        <is>
          <t>1. Do not add up the wages of retained employees with lost margin. It's the same loss described twice.</t>
        </is>
      </c>
    </row>
    <row r="48" ht="16.5" customHeight="1" s="95">
      <c r="B48" s="132" t="inlineStr">
        <is>
          <t>2. Don't treat all lost revenue as a loss - the loss is the contribution margin.</t>
        </is>
      </c>
    </row>
    <row r="49" ht="16.5" customHeight="1" s="95">
      <c r="B49" s="132" t="inlineStr">
        <is>
          <t>3. Do not use two pricing methods for one process.</t>
        </is>
      </c>
    </row>
    <row r="50" ht="16.5" customHeight="1" s="95">
      <c r="B50" s="132" t="inlineStr">
        <is>
          <t>4. Do not count deferred sales as lost sales. Deferral generates financing and catch-up costs.</t>
        </is>
      </c>
    </row>
    <row r="51" ht="16.5" customHeight="1" s="95">
      <c r="B51" s="132" t="inlineStr">
        <is>
          <t>5. The billable method replaces counting the time of the same people in the K1 category - do not add both.</t>
        </is>
      </c>
    </row>
    <row r="52" ht="30" customHeight="1" s="95">
      <c r="B52" s="132" t="inlineStr">
        <is>
          <t>6. The compensation of the IT team responding to a failure is operational capacity. Only overtime and an external contractor are included in the cash.</t>
        </is>
      </c>
    </row>
    <row r="53" ht="16.5" customHeight="1" s="95">
      <c r="B53" s="132" t="inlineStr">
        <is>
          <t>7. The same penalty cannot be both cash and conditional - use an exclusion group.</t>
        </is>
      </c>
    </row>
    <row r="54" ht="16.5" customHeight="1" s="95">
      <c r="B54" s="132" t="inlineStr">
        <is>
          <t>8. Do not subtract insurance recovery from the result. Show it separately.</t>
        </is>
      </c>
    </row>
    <row r="55" ht="16.5" customHeight="1" s="95">
      <c r="B55" s="132" t="inlineStr">
        <is>
          <t>9. The cost of root cause analysis and preventive action is the cost of improvement, not the cost of the incident.</t>
        </is>
      </c>
    </row>
    <row r="56" ht="16.5" customHeight="1" s="95">
      <c r="B56" s="132" t="inlineStr">
        <is>
          <t>10. If two scenarios cover the same process with a total of more than 100%, they probably describe the same event twice.</t>
        </is>
      </c>
    </row>
    <row r="57" ht="16.5" customHeight="1" s="95">
      <c r="B57" s="132" t="inlineStr">
        <is>
          <t>11. The loss of clients of an accounting office is not a loss of the office. The office bears its own service costs and the risk of compensation.</t>
        </is>
      </c>
    </row>
    <row r="58" ht="16.5" customHeight="1" s="95">
      <c r="B58" s="132" t="inlineStr">
        <is>
          <t>12. Reputation is not a percentage of turnover. Unless you have method and proof, it goes uncounted.</t>
        </is>
      </c>
    </row>
    <row r="59"/>
    <row r="60"/>
    <row r="61" ht="19.5" customHeight="1" s="95">
      <c r="A61" s="99" t="inlineStr">
        <is>
          <t xml:space="preserve">  CONFIDENCE SCALE - HOW TO READ IT</t>
        </is>
      </c>
      <c r="B61" s="100" t="n"/>
      <c r="C61" s="100" t="n"/>
      <c r="D61" s="100" t="n"/>
    </row>
    <row r="62" ht="30" customHeight="1" s="95">
      <c r="B62" s="132" t="inlineStr">
        <is>
          <t>• We do not use a synthetic "87.4% confidence score". We show three simple, verifiable numbers: the share of required fields completed, the number of items included in the result without a baseline value, and the share of high-confidence items.</t>
        </is>
      </c>
    </row>
    <row r="63" ht="30" customHeight="1" s="95">
      <c r="B63" s="132" t="inlineStr">
        <is>
          <t>• Aggregate Rating: 'High' - Above 80% of required fields and no items without a baseline. "Average" - more than 50% of required fields. “Low” - Below 50% or there are open QA bugs.</t>
        </is>
      </c>
    </row>
    <row r="64" ht="16.5" customHeight="1" s="95">
      <c r="B64" s="132" t="inlineStr">
        <is>
          <t>• A blank field means no data, not zero. The model never replaces missing data with a default value.</t>
        </is>
      </c>
    </row>
    <row r="65" ht="30" customHeight="1" s="95">
      <c r="B65" s="132" t="inlineStr">
        <is>
          <t>• External benchmarks are disabled by default and do not feed any formula. They are only used for comparison after calculating the result from your data.</t>
        </is>
      </c>
    </row>
    <row r="66" ht="30" customHeight="1" s="95">
      <c r="B66" s="132" t="inlineStr">
        <is>
          <t>• Methodology version: 1.0 from 31/07/2026. Full source register: SOURCES AND ASSUMPTIONS tab and the 01_RESEARCH/02_REJESTR_ZRODEL.csv file in the tool package.</t>
        </is>
      </c>
    </row>
  </sheetData>
  <mergeCells count="19">
    <mergeCell ref="B47:C47"/>
    <mergeCell ref="B62:C62"/>
    <mergeCell ref="B54:C54"/>
    <mergeCell ref="B66:C66"/>
    <mergeCell ref="B56:C56"/>
    <mergeCell ref="B58:C58"/>
    <mergeCell ref="B52:C52"/>
    <mergeCell ref="B48:C48"/>
    <mergeCell ref="B57:C57"/>
    <mergeCell ref="B53:C53"/>
    <mergeCell ref="B49:C49"/>
    <mergeCell ref="B65:C65"/>
    <mergeCell ref="B55:C55"/>
    <mergeCell ref="B64:C64"/>
    <mergeCell ref="B51:C51"/>
    <mergeCell ref="A3:D3"/>
    <mergeCell ref="B50:C50"/>
    <mergeCell ref="A2:D2"/>
    <mergeCell ref="B63:C6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4.xml><?xml version="1.0" encoding="utf-8"?>
<worksheet xmlns="http://schemas.openxmlformats.org/spreadsheetml/2006/main">
  <sheetPr filterMode="0">
    <tabColor rgb="FF0164FF"/>
    <outlinePr summaryBelow="1" summaryRight="1"/>
    <pageSetUpPr fitToPage="0"/>
  </sheetPr>
  <dimension ref="A1:G52"/>
  <sheetViews>
    <sheetView showFormulas="0" showGridLines="0" showRowColHeaders="1" showZeros="1" rightToLeft="0" tabSelected="0" showOutlineSymbols="1" defaultGridColor="1"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4" customWidth="1" style="94" min="1" max="1"/>
    <col width="10" customWidth="1" style="94" min="2" max="2"/>
    <col width="30" customWidth="1" style="94" min="3" max="3"/>
    <col width="46" customWidth="1" style="94" min="4" max="4"/>
    <col width="28" customWidth="1" style="94" min="5" max="5"/>
    <col width="56" customWidth="1" style="94" min="6" max="6"/>
    <col width="12" customWidth="1" style="94" min="7" max="7"/>
  </cols>
  <sheetData>
    <row r="1" ht="15" customHeight="1" s="95">
      <c r="A1" s="116" t="inlineStr">
        <is>
          <t>NexaIT</t>
        </is>
      </c>
    </row>
    <row r="2" ht="24" customHeight="1" s="95">
      <c r="A2" s="117" t="inlineStr">
        <is>
          <t>Sources and assumptions</t>
        </is>
      </c>
    </row>
    <row r="3" ht="16.5" customHeight="1" s="95">
      <c r="A3" s="118" t="inlineStr">
        <is>
          <t>An abbreviated record of the sources used to build the model. Full version with credibility assessment, limitations and conflict of interest: file 01_RESEARCH/02_REJESTR_ZRODEL.csv.</t>
        </is>
      </c>
    </row>
    <row r="4"/>
    <row r="5" ht="16.5" customHeight="1" s="95">
      <c r="B5" s="138" t="inlineStr">
        <is>
          <t>NONE of the sources below are the defaults in this file. External benchmarks are only for comparison AFTER the result is calculated from your data and do not feed into any formula.</t>
        </is>
      </c>
    </row>
    <row r="6"/>
    <row r="7" ht="19.5" customHeight="1" s="95">
      <c r="A7" s="99" t="inlineStr">
        <is>
          <t xml:space="preserve">  SOURCE REGISTER</t>
        </is>
      </c>
      <c r="B7" s="100" t="n"/>
      <c r="C7" s="100" t="n"/>
      <c r="D7" s="100" t="n"/>
      <c r="E7" s="100" t="n"/>
      <c r="F7" s="100" t="n"/>
      <c r="G7" s="100" t="n"/>
    </row>
    <row r="8" ht="24" customHeight="1" s="95">
      <c r="A8" s="119" t="n"/>
      <c r="B8" s="119" t="inlineStr">
        <is>
          <t>ID</t>
        </is>
      </c>
      <c r="C8" s="119" t="inlineStr">
        <is>
          <t>Organization</t>
        </is>
      </c>
      <c r="D8" s="119" t="inlineStr">
        <is>
          <t>Title</t>
        </is>
      </c>
      <c r="E8" s="119" t="inlineStr">
        <is>
          <t>Date/access</t>
        </is>
      </c>
      <c r="F8" s="119" t="inlineStr">
        <is>
          <t>What it supports in the model</t>
        </is>
      </c>
      <c r="G8" s="119" t="inlineStr">
        <is>
          <t>Reliability</t>
        </is>
      </c>
    </row>
    <row r="9" ht="25.5" customHeight="1" s="95">
      <c r="B9" s="130" t="inlineStr">
        <is>
          <t>S-001</t>
        </is>
      </c>
      <c r="C9" s="169" t="inlineStr">
        <is>
          <t>NIST</t>
        </is>
      </c>
      <c r="D9" s="169" t="inlineStr">
        <is>
          <t>SP 800-34 Rev.1 - Contingency Planning Guide</t>
        </is>
      </c>
      <c r="E9" s="169" t="inlineStr">
        <is>
          <t>2010, accessed 31/07/2026</t>
        </is>
      </c>
      <c r="F9" s="169" t="inlineStr">
        <is>
          <t>MTD, RTO, RPO definitions; RTO + processing time ≤ MTD ratio</t>
        </is>
      </c>
      <c r="G9" s="170" t="inlineStr">
        <is>
          <t>A</t>
        </is>
      </c>
    </row>
    <row r="10" ht="25.5" customHeight="1" s="95">
      <c r="B10" s="130" t="inlineStr">
        <is>
          <t>S-002</t>
        </is>
      </c>
      <c r="C10" s="169" t="inlineStr">
        <is>
          <t>ISO</t>
        </is>
      </c>
      <c r="D10" s="169" t="inlineStr">
        <is>
          <t>ISO 22301:2019 - Business continuity management systems</t>
        </is>
      </c>
      <c r="E10" s="169" t="inlineStr">
        <is>
          <t>2019, accessed 31/07/2026</t>
        </is>
      </c>
      <c r="F10" s="169" t="inlineStr">
        <is>
          <t>BCMS Framework; MTPD and MBCO concepts (based on the official description of the standard)</t>
        </is>
      </c>
      <c r="G10" s="170" t="inlineStr">
        <is>
          <t>A</t>
        </is>
      </c>
    </row>
    <row r="11" ht="25.5" customHeight="1" s="95">
      <c r="B11" s="130" t="inlineStr">
        <is>
          <t>S-003</t>
        </is>
      </c>
      <c r="C11" s="169" t="inlineStr">
        <is>
          <t>ISO</t>
        </is>
      </c>
      <c r="D11" s="169" t="inlineStr">
        <is>
          <t>ISO 22313:2020 — Guidance on the use of ISO 22301</t>
        </is>
      </c>
      <c r="E11" s="169" t="inlineStr">
        <is>
          <t>2020, accessed 31/07/2026</t>
        </is>
      </c>
      <c r="F11" s="169" t="inlineStr">
        <is>
          <t>ISO 22301 Guidance Layer - Dictionary Context</t>
        </is>
      </c>
      <c r="G11" s="170" t="inlineStr">
        <is>
          <t>A</t>
        </is>
      </c>
    </row>
    <row r="12" ht="25.5" customHeight="1" s="95">
      <c r="B12" s="130" t="inlineStr">
        <is>
          <t>S-004</t>
        </is>
      </c>
      <c r="C12" s="169" t="inlineStr">
        <is>
          <t>FEMA / Ready.gov</t>
        </is>
      </c>
      <c r="D12" s="169" t="inlineStr">
        <is>
          <t>Business Impact Analysis Worksheet</t>
        </is>
      </c>
      <c r="E12" s="169" t="inlineStr">
        <is>
          <t>2020, accessed 31/07/2026</t>
        </is>
      </c>
      <c r="F12" s="169" t="inlineStr">
        <is>
          <t>Break duration intervals and catalog of operational effects</t>
        </is>
      </c>
      <c r="G12" s="170" t="inlineStr">
        <is>
          <t>A</t>
        </is>
      </c>
    </row>
    <row r="13" ht="25.5" customHeight="1" s="95">
      <c r="B13" s="130" t="inlineStr">
        <is>
          <t>S-005</t>
        </is>
      </c>
      <c r="C13" s="169" t="inlineStr">
        <is>
          <t>NIST</t>
        </is>
      </c>
      <c r="D13" s="169" t="inlineStr">
        <is>
          <t>SP 800-30 Rev.1 - Guide for Conducting Risk Assessments</t>
        </is>
      </c>
      <c r="E13" s="169" t="inlineStr">
        <is>
          <t>2012, accessed 31/07/2026</t>
        </is>
      </c>
      <c r="F13" s="169" t="inlineStr">
        <is>
          <t>Separation of probability and effect; basis of annual exposure</t>
        </is>
      </c>
      <c r="G13" s="170" t="inlineStr">
        <is>
          <t>A</t>
        </is>
      </c>
    </row>
    <row r="14" ht="25.5" customHeight="1" s="95">
      <c r="B14" s="130" t="inlineStr">
        <is>
          <t>S-006</t>
        </is>
      </c>
      <c r="C14" s="169" t="inlineStr">
        <is>
          <t>gov.pl / Ministry of Digitization</t>
        </is>
      </c>
      <c r="D14" s="169" t="inlineStr">
        <is>
          <t>Amendment to the KSC Act (implementation of NIS 2)</t>
        </is>
      </c>
      <c r="E14" s="169" t="inlineStr">
        <is>
          <t>valid from 03/04/2026, accessed 31/07/2026</t>
        </is>
      </c>
      <c r="F14" s="169" t="inlineStr">
        <is>
          <t>Deadlines: registration 03/10/2026, ISMS 03/04/2027, audit 03/04/2028</t>
        </is>
      </c>
      <c r="G14" s="170" t="inlineStr">
        <is>
          <t>A</t>
        </is>
      </c>
    </row>
    <row r="15" ht="25.5" customHeight="1" s="95">
      <c r="B15" s="130" t="inlineStr">
        <is>
          <t>S-007</t>
        </is>
      </c>
      <c r="C15" s="169" t="inlineStr">
        <is>
          <t>UODO</t>
        </is>
      </c>
      <c r="D15" s="169" t="inlineStr">
        <is>
          <t>Reporting personal data breaches</t>
        </is>
      </c>
      <c r="E15" s="169" t="inlineStr">
        <is>
          <t>accessed 31/07/2026</t>
        </is>
      </c>
      <c r="F15" s="169" t="inlineStr">
        <is>
          <t>72 hours from finding the violation, staged reporting, obligation to notify persons</t>
        </is>
      </c>
      <c r="G15" s="170" t="inlineStr">
        <is>
          <t>A</t>
        </is>
      </c>
    </row>
    <row r="16" ht="25.5" customHeight="1" s="95">
      <c r="B16" s="130" t="inlineStr">
        <is>
          <t>S-008</t>
        </is>
      </c>
      <c r="C16" s="169" t="inlineStr">
        <is>
          <t>EUR-Lex</t>
        </is>
      </c>
      <c r="D16" s="169" t="inlineStr">
        <is>
          <t>Regulation (EU) 2016/679 (GDPR), Art. 33 and 34</t>
        </is>
      </c>
      <c r="E16" s="169" t="inlineStr">
        <is>
          <t>2016, accessed 31/07/2026</t>
        </is>
      </c>
      <c r="F16" s="169" t="inlineStr">
        <is>
          <t>Legal basis of the 72-hour deadline; penalties only as conditional exposure</t>
        </is>
      </c>
      <c r="G16" s="170" t="inlineStr">
        <is>
          <t>A</t>
        </is>
      </c>
    </row>
    <row r="17" ht="25.5" customHeight="1" s="95">
      <c r="B17" s="130" t="inlineStr">
        <is>
          <t>S-009</t>
        </is>
      </c>
      <c r="C17" s="169" t="inlineStr">
        <is>
          <t>GUS</t>
        </is>
      </c>
      <c r="D17" s="169" t="inlineStr">
        <is>
          <t>Labor costs in 2024</t>
        </is>
      </c>
      <c r="E17" s="169" t="inlineStr">
        <is>
          <t>published 28/11/2025, accessed 31/07/2026</t>
        </is>
      </c>
      <c r="F17" s="169" t="inlineStr">
        <is>
          <t>Justification for calculating the employer's FULL cost; benchmark disabled by default</t>
        </is>
      </c>
      <c r="G17" s="170" t="inlineStr">
        <is>
          <t>A</t>
        </is>
      </c>
    </row>
    <row r="18" ht="25.5" customHeight="1" s="95">
      <c r="B18" s="130" t="inlineStr">
        <is>
          <t>S-010</t>
        </is>
      </c>
      <c r="C18" s="169" t="inlineStr">
        <is>
          <t>ZUS</t>
        </is>
      </c>
      <c r="D18" s="169" t="inlineStr">
        <is>
          <t>Amount of social security contributions</t>
        </is>
      </c>
      <c r="E18" s="169" t="inlineStr">
        <is>
          <t>status 2026, accessed 31/07/2026</t>
        </is>
      </c>
      <c r="F18" s="169" t="inlineStr">
        <is>
          <t>Components of the employer's charge for the helper PF-14…PF-17</t>
        </is>
      </c>
      <c r="G18" s="170" t="inlineStr">
        <is>
          <t>A</t>
        </is>
      </c>
    </row>
    <row r="19" ht="25.5" customHeight="1" s="95">
      <c r="B19" s="130" t="inlineStr">
        <is>
          <t>S-011</t>
        </is>
      </c>
      <c r="C19" s="169" t="inlineStr">
        <is>
          <t>NBP</t>
        </is>
      </c>
      <c r="D19" s="169" t="inlineStr">
        <is>
          <t>Basic NBP interest rates</t>
        </is>
      </c>
      <c r="E19" s="169" t="inlineStr">
        <is>
          <t>July 2026, accessed 31/07/2026</t>
        </is>
      </c>
      <c r="F19" s="169" t="inlineStr">
        <is>
          <t>Reference point for PF-19 field; the field remains blank by default</t>
        </is>
      </c>
      <c r="G19" s="170" t="inlineStr">
        <is>
          <t>A</t>
        </is>
      </c>
    </row>
    <row r="20" ht="25.5" customHeight="1" s="95">
      <c r="B20" s="130" t="inlineStr">
        <is>
          <t>S-012</t>
        </is>
      </c>
      <c r="C20" s="169" t="inlineStr">
        <is>
          <t>Ministry of Finance / KAS</t>
        </is>
      </c>
      <c r="D20" s="169" t="inlineStr">
        <is>
          <t>KSeF - special invoicing modes</t>
        </is>
      </c>
      <c r="E20" s="169" t="inlineStr">
        <is>
          <t>status 2026, accessed 31/07/2026</t>
        </is>
      </c>
      <c r="F20" s="169" t="inlineStr">
        <is>
          <t>A real failure bypass exists → "bypass efficiency" parameter</t>
        </is>
      </c>
      <c r="G20" s="170" t="inlineStr">
        <is>
          <t>A</t>
        </is>
      </c>
    </row>
    <row r="21" ht="25.5" customHeight="1" s="95">
      <c r="B21" s="130" t="inlineStr">
        <is>
          <t>S-013</t>
        </is>
      </c>
      <c r="C21" s="169" t="inlineStr">
        <is>
          <t>NASK / CERT Polska</t>
        </is>
      </c>
      <c r="D21" s="169" t="inlineStr">
        <is>
          <t>CERT Polska annual report for 2025</t>
        </is>
      </c>
      <c r="E21" s="169" t="inlineStr">
        <is>
          <t>published 08/04/2026, accessed 31/07/2026</t>
        </is>
      </c>
      <c r="F21" s="169" t="inlineStr">
        <is>
          <t>Justification for a separate cyber incident module; It is NOT used to calculate frequency</t>
        </is>
      </c>
      <c r="G21" s="170" t="inlineStr">
        <is>
          <t>A</t>
        </is>
      </c>
    </row>
    <row r="22" ht="25.5" customHeight="1" s="95">
      <c r="B22" s="130" t="inlineStr">
        <is>
          <t>S-014</t>
        </is>
      </c>
      <c r="C22" s="169" t="inlineStr">
        <is>
          <t>ENISA</t>
        </is>
      </c>
      <c r="D22" s="169" t="inlineStr">
        <is>
          <t>ENISA Threat Landscape 2025</t>
        </is>
      </c>
      <c r="E22" s="169" t="inlineStr">
        <is>
          <t>October 2025, accessed 31/07/2026</t>
        </is>
      </c>
      <c r="F22" s="169" t="inlineStr">
        <is>
          <t>Ransomware as a threat with the greatest impact → separate scenario</t>
        </is>
      </c>
      <c r="G22" s="170" t="inlineStr">
        <is>
          <t>A</t>
        </is>
      </c>
    </row>
    <row r="23" ht="25.5" customHeight="1" s="95">
      <c r="B23" s="130" t="inlineStr">
        <is>
          <t>S-015</t>
        </is>
      </c>
      <c r="C23" s="169" t="inlineStr">
        <is>
          <t>Uptime Institute</t>
        </is>
      </c>
      <c r="D23" s="169" t="inlineStr">
        <is>
          <t>Annual Outage Analysis 2025</t>
        </is>
      </c>
      <c r="E23" s="169" t="inlineStr">
        <is>
          <t>May 2025, accessed 31/07/2026</t>
        </is>
      </c>
      <c r="F23" s="169" t="inlineStr">
        <is>
          <t>Justification for a range instead of a single number; the role of human error and degradation</t>
        </is>
      </c>
      <c r="G23" s="171" t="inlineStr">
        <is>
          <t>B</t>
        </is>
      </c>
    </row>
    <row r="24" ht="25.5" customHeight="1" s="95">
      <c r="B24" s="130" t="inlineStr">
        <is>
          <t>S-016</t>
        </is>
      </c>
      <c r="C24" s="169" t="inlineStr">
        <is>
          <t>Sophos (supplier)</t>
        </is>
      </c>
      <c r="D24" s="169" t="inlineStr">
        <is>
          <t>The State of Ransomware 2025</t>
        </is>
      </c>
      <c r="E24" s="169" t="inlineStr">
        <is>
          <t>June 2025, accessed 31/07/2026</t>
        </is>
      </c>
      <c r="F24" s="169" t="inlineStr">
        <is>
          <t>Separation of replacement cost from ransom; return time dispersion → phase model</t>
        </is>
      </c>
      <c r="G24" s="172" t="inlineStr">
        <is>
          <t>C</t>
        </is>
      </c>
    </row>
    <row r="25" ht="25.5" customHeight="1" s="95">
      <c r="B25" s="130" t="inlineStr">
        <is>
          <t>S-017</t>
        </is>
      </c>
      <c r="C25" s="169" t="inlineStr">
        <is>
          <t>ACCA</t>
        </is>
      </c>
      <c r="D25" s="169" t="inlineStr">
        <is>
          <t>Throughput accounting and the theory of constraints</t>
        </is>
      </c>
      <c r="E25" s="169" t="inlineStr">
        <is>
          <t>accessed 31/07/2026</t>
        </is>
      </c>
      <c r="F25" s="169" t="inlineStr">
        <is>
          <t>Justification for calculating the contribution margin and the role of the bottleneck</t>
        </is>
      </c>
      <c r="G25" s="171" t="inlineStr">
        <is>
          <t>B</t>
        </is>
      </c>
    </row>
    <row r="26" ht="25.5" customHeight="1" s="95">
      <c r="B26" s="130" t="inlineStr">
        <is>
          <t>S-018</t>
        </is>
      </c>
      <c r="C26" s="169" t="inlineStr">
        <is>
          <t>Google</t>
        </is>
      </c>
      <c r="D26" s="169" t="inlineStr">
        <is>
          <t>Use both Excel &amp; Sheets: best practices; Import data sets</t>
        </is>
      </c>
      <c r="E26" s="169" t="inlineStr">
        <is>
          <t>accessed 31/07/2026</t>
        </is>
      </c>
      <c r="F26" s="169" t="inlineStr">
        <is>
          <t>.xlsx import restrictions → selection of allowed functions</t>
        </is>
      </c>
      <c r="G26" s="170" t="inlineStr">
        <is>
          <t>A</t>
        </is>
      </c>
    </row>
    <row r="27" ht="25.5" customHeight="1" s="95">
      <c r="B27" s="130" t="inlineStr">
        <is>
          <t>S-019</t>
        </is>
      </c>
      <c r="C27" s="169" t="inlineStr">
        <is>
          <t>Microsoft</t>
        </is>
      </c>
      <c r="D27" s="169" t="inlineStr">
        <is>
          <t>Formula compatibility issues in Excel; Excel specifications and limits</t>
        </is>
      </c>
      <c r="E27" s="169" t="inlineStr">
        <is>
          <t>accessed 31/07/2026</t>
        </is>
      </c>
      <c r="F27" s="169" t="inlineStr">
        <is>
          <t>Formula compliance rules and sheet limits</t>
        </is>
      </c>
      <c r="G27" s="170" t="inlineStr">
        <is>
          <t>A</t>
        </is>
      </c>
    </row>
    <row r="28" ht="25.5" customHeight="1" s="95">
      <c r="B28" s="130" t="inlineStr">
        <is>
          <t>S-020</t>
        </is>
      </c>
      <c r="C28" s="169" t="inlineStr">
        <is>
          <t>FreightWaves (industry content)</t>
        </is>
      </c>
      <c r="D28" s="169" t="inlineStr">
        <is>
          <t>Warehouse WMS downtime</t>
        </is>
      </c>
      <c r="E28" s="169" t="inlineStr">
        <is>
          <t>2026, accessed 31/07/2026</t>
        </is>
      </c>
      <c r="F28" s="169" t="inlineStr">
        <is>
          <t>Catalog of effects in the warehouse module; numbers NOT used in the model</t>
        </is>
      </c>
      <c r="G28" s="172" t="inlineStr">
        <is>
          <t>C</t>
        </is>
      </c>
    </row>
    <row r="29" ht="25.5" customHeight="1" s="95">
      <c r="B29" s="130" t="inlineStr">
        <is>
          <t>S-021</t>
        </is>
      </c>
      <c r="C29" s="169" t="inlineStr">
        <is>
          <t>insurance market (brokerage materials)</t>
        </is>
      </c>
      <c r="D29" s="169" t="inlineStr">
        <is>
          <t>Cyber insurance - waiting period, business interruption</t>
        </is>
      </c>
      <c r="E29" s="169" t="inlineStr">
        <is>
          <t>2025–2026, accessed 31/07/2026</t>
        </is>
      </c>
      <c r="F29" s="169" t="inlineStr">
        <is>
          <t>Recovery mechanics: waiting period, deductible, limit, compensation period</t>
        </is>
      </c>
      <c r="G29" s="172" t="inlineStr">
        <is>
          <t>C</t>
        </is>
      </c>
    </row>
    <row r="30" ht="25.5" customHeight="1" s="95">
      <c r="B30" s="130" t="inlineStr">
        <is>
          <t>S-022</t>
        </is>
      </c>
      <c r="C30" s="169" t="inlineStr">
        <is>
          <t>NexaIT</t>
        </is>
      </c>
      <c r="D30" s="169" t="inlineStr">
        <is>
          <t>DowntimeCalculator.tsx, site.ts, DECISION_REGISTER (DEC-013)</t>
        </is>
      </c>
      <c r="E30" s="169" t="inlineStr">
        <is>
          <t>2026-07-19/20</t>
        </is>
      </c>
      <c r="F30" s="169" t="inlineStr">
        <is>
          <t>Minimum version of the calculator as a reference; contact details</t>
        </is>
      </c>
      <c r="G30" s="170" t="inlineStr">
        <is>
          <t>A</t>
        </is>
      </c>
    </row>
    <row r="31"/>
    <row r="32"/>
    <row r="33" ht="19.5" customHeight="1" s="95">
      <c r="A33" s="99" t="inlineStr">
        <is>
          <t xml:space="preserve">  RELIABILITY SCALE</t>
        </is>
      </c>
      <c r="B33" s="100" t="n"/>
      <c r="C33" s="100" t="n"/>
      <c r="D33" s="100" t="n"/>
      <c r="E33" s="100" t="n"/>
      <c r="F33" s="100" t="n"/>
      <c r="G33" s="100" t="n"/>
    </row>
    <row r="34" ht="16.5" customHeight="1" s="95">
      <c r="B34" s="132" t="inlineStr">
        <is>
          <t>• A - primary or official source: legal act, standard, public authority, public statistics, manufacturer's documentation.</t>
        </is>
      </c>
    </row>
    <row r="35" ht="16.5" customHeight="1" s="95">
      <c r="B35" s="132" t="inlineStr">
        <is>
          <t>• B - Research or industry material with described methodology, but without primary source status.</t>
        </is>
      </c>
    </row>
    <row r="36" ht="16.5" customHeight="1" s="95">
      <c r="B36" s="132" t="inlineStr">
        <is>
          <t>• C - Material with clear commercial interest or no full methodology. Used only as a category directory or mechanic, never as a number in a model.</t>
        </is>
      </c>
    </row>
    <row r="37" ht="16.5" customHeight="1" s="95">
      <c r="B37" s="132" t="inlineStr">
        <is>
          <t>• D - Rejected: SEO content, affiliate content, "market mid-range" with no primary source. Two such items were recorded in the full register along with the reason for rejection.</t>
        </is>
      </c>
    </row>
    <row r="38"/>
    <row r="39" ht="19.5" customHeight="1" s="95">
      <c r="A39" s="99" t="inlineStr">
        <is>
          <t xml:space="preserve">  YOUR ASSUMPTIONS - ENTER AND SIGN</t>
        </is>
      </c>
      <c r="B39" s="100" t="n"/>
      <c r="C39" s="100" t="n"/>
      <c r="D39" s="100" t="n"/>
      <c r="E39" s="100" t="n"/>
      <c r="F39" s="100" t="n"/>
      <c r="G39" s="100" t="n"/>
    </row>
    <row r="40" ht="19.5" customHeight="1" s="95">
      <c r="A40" s="119" t="n"/>
      <c r="B40" s="119" t="inlineStr">
        <is>
          <t>No</t>
        </is>
      </c>
      <c r="C40" s="119" t="inlineStr">
        <is>
          <t>Assumption</t>
        </is>
      </c>
      <c r="D40" s="119" t="inlineStr">
        <is>
          <t>Who accepted them</t>
        </is>
      </c>
      <c r="E40" s="119" t="inlineStr">
        <is>
          <t>Date</t>
        </is>
      </c>
      <c r="F40" s="119" t="inlineStr">
        <is>
          <t>How to confirm them</t>
        </is>
      </c>
      <c r="G40" s="119" t="inlineStr">
        <is>
          <t>Confidence</t>
        </is>
      </c>
    </row>
    <row r="41" ht="19.5" customHeight="1" s="95">
      <c r="B41" s="121" t="n">
        <v>1</v>
      </c>
      <c r="C41" s="127" t="n"/>
      <c r="D41" s="127" t="n"/>
      <c r="E41" s="127" t="n"/>
      <c r="F41" s="127" t="n"/>
      <c r="G41" s="127" t="n"/>
    </row>
    <row r="42" ht="19.5" customHeight="1" s="95">
      <c r="B42" s="121" t="n">
        <v>2</v>
      </c>
      <c r="C42" s="127" t="n"/>
      <c r="D42" s="127" t="n"/>
      <c r="E42" s="127" t="n"/>
      <c r="F42" s="127" t="n"/>
      <c r="G42" s="127" t="n"/>
    </row>
    <row r="43" ht="19.5" customHeight="1" s="95">
      <c r="B43" s="121" t="n">
        <v>3</v>
      </c>
      <c r="C43" s="127" t="n"/>
      <c r="D43" s="127" t="n"/>
      <c r="E43" s="127" t="n"/>
      <c r="F43" s="127" t="n"/>
      <c r="G43" s="127" t="n"/>
    </row>
    <row r="44" ht="19.5" customHeight="1" s="95">
      <c r="B44" s="121" t="n">
        <v>4</v>
      </c>
      <c r="C44" s="127" t="n"/>
      <c r="D44" s="127" t="n"/>
      <c r="E44" s="127" t="n"/>
      <c r="F44" s="127" t="n"/>
      <c r="G44" s="127" t="n"/>
    </row>
    <row r="45" ht="19.5" customHeight="1" s="95">
      <c r="B45" s="121" t="n">
        <v>5</v>
      </c>
      <c r="C45" s="127" t="n"/>
      <c r="D45" s="127" t="n"/>
      <c r="E45" s="127" t="n"/>
      <c r="F45" s="127" t="n"/>
      <c r="G45" s="127" t="n"/>
    </row>
    <row r="46" ht="19.5" customHeight="1" s="95">
      <c r="B46" s="121" t="n">
        <v>6</v>
      </c>
      <c r="C46" s="127" t="n"/>
      <c r="D46" s="127" t="n"/>
      <c r="E46" s="127" t="n"/>
      <c r="F46" s="127" t="n"/>
      <c r="G46" s="127" t="n"/>
    </row>
    <row r="47" ht="19.5" customHeight="1" s="95">
      <c r="B47" s="121" t="n">
        <v>7</v>
      </c>
      <c r="C47" s="127" t="n"/>
      <c r="D47" s="127" t="n"/>
      <c r="E47" s="127" t="n"/>
      <c r="F47" s="127" t="n"/>
      <c r="G47" s="127" t="n"/>
    </row>
    <row r="48" ht="19.5" customHeight="1" s="95">
      <c r="B48" s="121" t="n">
        <v>8</v>
      </c>
      <c r="C48" s="127" t="n"/>
      <c r="D48" s="127" t="n"/>
      <c r="E48" s="127" t="n"/>
      <c r="F48" s="127" t="n"/>
      <c r="G48" s="127" t="n"/>
    </row>
    <row r="49" ht="19.5" customHeight="1" s="95">
      <c r="B49" s="121" t="n">
        <v>9</v>
      </c>
      <c r="C49" s="127" t="n"/>
      <c r="D49" s="127" t="n"/>
      <c r="E49" s="127" t="n"/>
      <c r="F49" s="127" t="n"/>
      <c r="G49" s="127" t="n"/>
    </row>
    <row r="50" ht="19.5" customHeight="1" s="95">
      <c r="B50" s="121" t="n">
        <v>10</v>
      </c>
      <c r="C50" s="127" t="n"/>
      <c r="D50" s="127" t="n"/>
      <c r="E50" s="127" t="n"/>
      <c r="F50" s="127" t="n"/>
      <c r="G50" s="127" t="n"/>
    </row>
    <row r="51" ht="19.5" customHeight="1" s="95">
      <c r="B51" s="121" t="n">
        <v>11</v>
      </c>
      <c r="C51" s="127" t="n"/>
      <c r="D51" s="127" t="n"/>
      <c r="E51" s="127" t="n"/>
      <c r="F51" s="127" t="n"/>
      <c r="G51" s="127" t="n"/>
    </row>
    <row r="52" ht="19.5" customHeight="1" s="95">
      <c r="B52" s="121" t="n">
        <v>12</v>
      </c>
      <c r="C52" s="127" t="n"/>
      <c r="D52" s="127" t="n"/>
      <c r="E52" s="127" t="n"/>
      <c r="F52" s="127" t="n"/>
      <c r="G52" s="127" t="n"/>
    </row>
  </sheetData>
  <mergeCells count="7">
    <mergeCell ref="B34:F34"/>
    <mergeCell ref="A3:G3"/>
    <mergeCell ref="B5:F5"/>
    <mergeCell ref="B37:F37"/>
    <mergeCell ref="A2:G2"/>
    <mergeCell ref="B36:F36"/>
    <mergeCell ref="B35:F35"/>
  </mergeCells>
  <dataValidations count="1">
    <dataValidation sqref="G41:G52" showDropDown="0" showInputMessage="0" showErrorMessage="0" allowBlank="1" errorTitle="Wartość spoza listy" error="Wybierz wartość z listy." type="list" errorStyle="stop" operator="between">
      <formula1>'LISTY POMOCNICZE'!$H$8:$H$10</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5.xml><?xml version="1.0" encoding="utf-8"?>
<worksheet xmlns="http://schemas.openxmlformats.org/spreadsheetml/2006/main">
  <sheetPr filterMode="0">
    <tabColor rgb="FF0164FF"/>
    <outlinePr summaryBelow="1" summaryRight="1"/>
    <pageSetUpPr fitToPage="1"/>
  </sheetPr>
  <dimension ref="A1:F31"/>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4" customWidth="1" style="94" min="1" max="1"/>
    <col width="46" customWidth="1" style="94" min="2" max="2"/>
    <col width="18" customWidth="1" style="94" min="3" max="5"/>
    <col width="60" customWidth="1" style="94" min="6" max="6"/>
  </cols>
  <sheetData>
    <row r="1" ht="17.35" customHeight="1" s="95">
      <c r="A1" s="173" t="inlineStr">
        <is>
          <t>FICTIONAL EXAMPLE</t>
        </is>
      </c>
      <c r="B1" s="174" t="n"/>
      <c r="C1" s="174" t="n"/>
      <c r="D1" s="174" t="n"/>
      <c r="E1" s="174" t="n"/>
      <c r="F1" s="174" t="n"/>
    </row>
    <row r="2" ht="30" customHeight="1" s="95">
      <c r="A2" s="175" t="inlineStr">
        <is>
          <t>This card is completely INVENTED and is only intended to show how to read the score. No number on this card is a market average, benchmark or real company data. The tab is NOT linked to any model formula - you can remove or ignore it without affecting the calculations.</t>
        </is>
      </c>
    </row>
    <row r="3" ht="15" customHeight="1" s="95"/>
    <row r="4"/>
    <row r="5" ht="19.5" customHeight="1" s="95">
      <c r="A5" s="99" t="inlineStr">
        <is>
          <t xml:space="preserve">  SITUATION (FICTICAL)</t>
        </is>
      </c>
      <c r="B5" s="100" t="n"/>
      <c r="C5" s="100" t="n"/>
      <c r="D5" s="100" t="n"/>
      <c r="E5" s="100" t="n"/>
      <c r="F5" s="100" t="n"/>
    </row>
    <row r="6" ht="16.5" customHeight="1" s="95">
      <c r="B6" s="132" t="inlineStr">
        <is>
          <t>• Fictitious technical wholesaler "Przykład sp. z o.o.", 38 people, one location, working Mon-Fri 8am-5pm.</t>
        </is>
      </c>
    </row>
    <row r="7" ht="16.5" customHeight="1" s="95">
      <c r="B7" s="132" t="inlineStr">
        <is>
          <t>• Event: Core switch failure. WMS and warehouse terminals unavailable.</t>
        </is>
      </c>
    </row>
    <row r="8" ht="30" customHeight="1" s="95">
      <c r="B8" s="132" t="inlineStr">
        <is>
          <t>• Phase 1 detection 0.5 h at 30% loss · Phase 2 full downtime 2.0 h at 100% · Phase 3 manual bypass 3.0 h at 100% loss, but bypass saves 55% of the work · Phase 6 stabilization 4.0 h at 25% loss.</t>
        </is>
      </c>
    </row>
    <row r="9" ht="16.5" customHeight="1" s="95">
      <c r="B9" s="132" t="inlineStr">
        <is>
          <t>• Effective downtime hours: 0.5×0.3 + 2.0×1.0 + 3.0×1.0×(1−0.55) + 4.0×0.25 = 4.50 h.</t>
        </is>
      </c>
    </row>
    <row r="10" ht="16.5" customHeight="1" s="95">
      <c r="B10" s="132" t="inlineStr">
        <is>
          <t>• Calendar time of the event: 9.5 h. The difference between 9.5 h and 4.50 h is the bypass value.</t>
        </is>
      </c>
    </row>
    <row r="11"/>
    <row r="12" ht="19.5" customHeight="1" s="95">
      <c r="A12" s="99" t="inlineStr">
        <is>
          <t xml:space="preserve">  RESULT (FICTICAL) - WHERE IT COMES FROM</t>
        </is>
      </c>
      <c r="B12" s="100" t="n"/>
      <c r="C12" s="100" t="n"/>
      <c r="D12" s="100" t="n"/>
      <c r="E12" s="100" t="n"/>
      <c r="F12" s="100" t="n"/>
    </row>
    <row r="13" ht="19.5" customHeight="1" s="95">
      <c r="A13" s="119" t="n"/>
      <c r="B13" s="119" t="inlineStr">
        <is>
          <t>Ingredient</t>
        </is>
      </c>
      <c r="C13" s="119" t="inlineStr">
        <is>
          <t>Amount</t>
        </is>
      </c>
      <c r="D13" s="119" t="n"/>
      <c r="E13" s="119" t="n"/>
      <c r="F13" s="119" t="inlineStr">
        <is>
          <t>Where does this number come from?</t>
        </is>
      </c>
    </row>
    <row r="14" ht="27.75" customHeight="1" s="95">
      <c r="B14" s="121" t="inlineStr">
        <is>
          <t>Lost contribution margin</t>
        </is>
      </c>
      <c r="C14" s="176" t="n">
        <v>20250</v>
      </c>
      <c r="F14" s="104" t="inlineStr">
        <is>
          <t>“Picking and shipping” process: 100% covered, margin PLN 6,000/h, 75% of sales non-recoverable → 4.50 h × 6,000 × 0.75.</t>
        </is>
      </c>
    </row>
    <row r="15" ht="27.75" customHeight="1" s="95">
      <c r="B15" s="121" t="inlineStr">
        <is>
          <t>External service and replacement equipment</t>
        </is>
      </c>
      <c r="C15" s="176" t="n">
        <v>4200</v>
      </c>
      <c r="F15" s="104" t="inlineStr">
        <is>
          <t>Lump sum entered by the company: switch + labor.</t>
        </is>
      </c>
    </row>
    <row r="16" ht="27.75" customHeight="1" s="95">
      <c r="B16" s="121" t="inlineStr">
        <is>
          <t>Express transport for 40 shipments</t>
        </is>
      </c>
      <c r="C16" s="176" t="n">
        <v>3600</v>
      </c>
      <c r="F16" s="104" t="inlineStr">
        <is>
          <t>40 × PLN 90. It saves some customers, but it costs money.</t>
        </is>
      </c>
    </row>
    <row r="17" ht="27.75" customHeight="1" s="95">
      <c r="B17" s="121" t="inlineStr">
        <is>
          <t>Overtime to clear the backlog</t>
        </is>
      </c>
      <c r="C17" s="176" t="n">
        <v>5940</v>
      </c>
      <c r="F17" s="104" t="inlineStr">
        <is>
          <t>Fictitious: 60 h × PLN 99/h (employer's cost with allowance).</t>
        </is>
      </c>
    </row>
    <row r="18" ht="27.75" customHeight="1" s="95">
      <c r="B18" s="130" t="inlineStr">
        <is>
          <t>IMPACT ON FINANCIAL RESULT (P&amp;L)</t>
        </is>
      </c>
      <c r="C18" s="131" t="n">
        <v>33990</v>
      </c>
      <c r="F18" s="104" t="inlineStr">
        <is>
          <t>Sum of the above four items.</t>
        </is>
      </c>
    </row>
    <row r="19" ht="27.75" customHeight="1" s="95">
      <c r="B19" s="121" t="inlineStr">
        <is>
          <t>Lost operational capability (KPI)</t>
        </is>
      </c>
      <c r="C19" s="176" t="n">
        <v>12960</v>
      </c>
      <c r="F19" s="104" t="inlineStr">
        <is>
          <t>32 people covered × PLN 90/h × 4.50 h. We do NOT add this to the P&amp;L.</t>
        </is>
      </c>
    </row>
    <row r="20" ht="27.75" customHeight="1" s="95">
      <c r="B20" s="121" t="inlineStr">
        <is>
          <t>Contingent exposures (non-outcome)</t>
        </is>
      </c>
      <c r="C20" s="176" t="n">
        <v>2500</v>
      </c>
      <c r="F20" s="104" t="inlineStr">
        <is>
          <t>Possible chargeback PLN 10,000 × 25% probability - consciously enabled.</t>
        </is>
      </c>
    </row>
    <row r="21" ht="27.75" customHeight="1" s="95">
      <c r="B21" s="121" t="inlineStr">
        <is>
          <t>Potential recoveries (not deducted)</t>
        </is>
      </c>
      <c r="C21" s="176" t="n">
        <v>0</v>
      </c>
      <c r="F21" s="104" t="inlineStr">
        <is>
          <t>No BI policy. If it were, recovery would be shown separately, never subtracted from the P&amp;L.</t>
        </is>
      </c>
    </row>
    <row r="22"/>
    <row r="23"/>
    <row r="24" ht="19.5" customHeight="1" s="95">
      <c r="A24" s="99" t="inlineStr">
        <is>
          <t xml:space="preserve">  WHAT THIS EXAMPLE TEACHES</t>
        </is>
      </c>
      <c r="B24" s="100" t="n"/>
      <c r="C24" s="100" t="n"/>
      <c r="D24" s="100" t="n"/>
      <c r="E24" s="100" t="n"/>
      <c r="F24" s="100" t="n"/>
    </row>
    <row r="25" ht="30" customHeight="1" s="95">
      <c r="B25" s="132" t="inlineStr">
        <is>
          <t>• The failure lasted 9.5 hours, but effectively cost 4.50 hours. A simple "people × hours" calculator would have calculated more than twice as much.</t>
        </is>
      </c>
    </row>
    <row r="26" ht="30" customHeight="1" s="95">
      <c r="B26" s="132" t="inlineStr">
        <is>
          <t>• Lost margin (PLN 20,250) and lost capacity (PLN 12,960) do NOT add up to PLN 33,210. It's the same situation described from both sides. It would be a mistake to add them up.</t>
        </is>
      </c>
    </row>
    <row r="27" ht="30" customHeight="1" s="95">
      <c r="B27" s="132" t="inlineStr">
        <is>
          <t>• If 100% of sales returned the following week, the lost margin would be PLN 0, and the real cost would be overtime, express and the cost of financing the delay.</t>
        </is>
      </c>
    </row>
    <row r="28" ht="30" customHeight="1" s="95">
      <c r="B28" s="132" t="inlineStr">
        <is>
          <t>• Chargeback is shown separately as a conditional exposure because it has not occurred yet. Adding it to the base result would increase the loss by PLN 2,500.</t>
        </is>
      </c>
    </row>
    <row r="29" ht="16.5" customHeight="1" s="95">
      <c r="B29" s="132" t="inlineStr">
        <is>
          <t>• All numbers above are made up. Your result will be different because it comes from your data.</t>
        </is>
      </c>
    </row>
    <row r="30"/>
    <row r="31" ht="30" customHeight="1" s="95">
      <c r="B31" s="111" t="inlineStr">
        <is>
          <t>The EXAMPLE tab contains no references to other tabs, and no model formula references it. Removing this tab will not corrupt the file.</t>
        </is>
      </c>
    </row>
  </sheetData>
  <mergeCells count="12">
    <mergeCell ref="B31:E31"/>
    <mergeCell ref="B26:E26"/>
    <mergeCell ref="B9:E9"/>
    <mergeCell ref="A2:F3"/>
    <mergeCell ref="B8:E8"/>
    <mergeCell ref="B27:E27"/>
    <mergeCell ref="B6:E6"/>
    <mergeCell ref="B29:E29"/>
    <mergeCell ref="B7:E7"/>
    <mergeCell ref="B25:E25"/>
    <mergeCell ref="B10:E10"/>
    <mergeCell ref="B28:E28"/>
  </mergeCell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worksheet>
</file>

<file path=xl/worksheets/sheet16.xml><?xml version="1.0" encoding="utf-8"?>
<worksheet xmlns="http://schemas.openxmlformats.org/spreadsheetml/2006/main">
  <sheetPr filterMode="0">
    <tabColor rgb="FF0164FF"/>
    <outlinePr summaryBelow="1" summaryRight="1"/>
    <pageSetUpPr fitToPage="1"/>
  </sheetPr>
  <dimension ref="A1:J35"/>
  <sheetViews>
    <sheetView showFormulas="0" showGridLines="0"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8.6796875" defaultRowHeight="15" customHeight="0" zeroHeight="0" outlineLevelRow="0"/>
  <cols>
    <col width="3" customWidth="1" style="94" min="1" max="1"/>
    <col width="9" customWidth="1" style="94" min="2" max="2"/>
    <col width="52" customWidth="1" style="94" min="3" max="3"/>
    <col width="14" customWidth="1" style="94" min="4" max="4"/>
    <col width="8" customWidth="1" style="94" min="5" max="5"/>
    <col width="16" customWidth="1" style="94" min="6" max="6"/>
    <col width="12" customWidth="1" style="94" min="7" max="7"/>
    <col width="66" customWidth="1" style="94" min="8" max="8"/>
    <col width="26" customWidth="1" style="94" min="10" max="10"/>
  </cols>
  <sheetData>
    <row r="1" ht="15" customHeight="1" s="95">
      <c r="A1" s="116" t="inlineStr">
        <is>
          <t>NexaIT</t>
        </is>
      </c>
    </row>
    <row r="2" ht="24" customHeight="1" s="95">
      <c r="A2" s="117" t="inlineStr">
        <is>
          <t>QA - automatic checks</t>
        </is>
      </c>
    </row>
    <row r="3" ht="16.5" customHeight="1" s="95">
      <c r="A3" s="118" t="inlineStr">
        <is>
          <t>The card checks your data, not the file itself. Zero in the "Result" column for checks marked as ERROR is a condition to show the result to anyone outside.</t>
        </is>
      </c>
    </row>
    <row r="4"/>
    <row r="5" ht="19.5" customHeight="1" s="95">
      <c r="A5" s="99" t="inlineStr">
        <is>
          <t xml:space="preserve">  KONTROLE</t>
        </is>
      </c>
      <c r="B5" s="100" t="n"/>
      <c r="C5" s="100" t="n"/>
      <c r="D5" s="100" t="n"/>
      <c r="E5" s="100" t="n"/>
      <c r="F5" s="100" t="n"/>
      <c r="G5" s="100" t="n"/>
      <c r="H5" s="100" t="n"/>
    </row>
    <row r="6" ht="19.5" customHeight="1" s="95">
      <c r="A6" s="119" t="n"/>
      <c r="B6" s="119" t="inlineStr">
        <is>
          <t>ID</t>
        </is>
      </c>
      <c r="C6" s="119" t="inlineStr">
        <is>
          <t>Control</t>
        </is>
      </c>
      <c r="D6" s="119" t="inlineStr">
        <is>
          <t>Result</t>
        </is>
      </c>
      <c r="E6" s="119" t="inlineStr">
        <is>
          <t>Unit</t>
        </is>
      </c>
      <c r="F6" s="119" t="inlineStr">
        <is>
          <t>Status</t>
        </is>
      </c>
      <c r="G6" s="119" t="inlineStr">
        <is>
          <t>Weight</t>
        </is>
      </c>
      <c r="H6" s="119" t="inlineStr">
        <is>
          <t>What to do</t>
        </is>
      </c>
      <c r="J6" s="177" t="inlineStr">
        <is>
          <t>Parameter: number of fields required in COMPANY PROFILE</t>
        </is>
      </c>
    </row>
    <row r="7" ht="25.5" customHeight="1" s="95">
      <c r="B7" s="130" t="inlineStr">
        <is>
          <t>QA-01</t>
        </is>
      </c>
      <c r="C7" s="121" t="inlineStr">
        <is>
          <t>Completed required fields in COMPANY PROFILE (of 8)</t>
        </is>
      </c>
      <c r="D7" s="178">
        <f>COUNTA('COMPANY PROFILE'!$D$9,'COMPANY PROFILE'!$D$10,'COMPANY PROFILE'!$D$11,'COMPANY PROFILE'!$D$12,'COMPANY PROFILE'!$D$14,'COMPANY PROFILE'!$D$16,'COMPANY PROFILE'!$D$18,'COMPANY PROFILE'!$D$24)</f>
        <v/>
      </c>
      <c r="E7" s="179" t="inlineStr">
        <is>
          <t>pcs.</t>
        </is>
      </c>
      <c r="F7" s="180">
        <f>"informacja"</f>
        <v/>
      </c>
      <c r="G7" s="120" t="inlineStr">
        <is>
          <t>—</t>
        </is>
      </c>
      <c r="H7" s="169" t="inlineStr">
        <is>
          <t>Required: industry, organization type, locations, number of people, hours per day, days per year, cost per hour, cost basis.</t>
        </is>
      </c>
      <c r="J7" s="181" t="n">
        <v>8</v>
      </c>
    </row>
    <row r="8" ht="25.5" customHeight="1" s="95">
      <c r="B8" s="130" t="inlineStr">
        <is>
          <t>QA-02</t>
        </is>
      </c>
      <c r="C8" s="121" t="inlineStr">
        <is>
          <t>Processes with a pricing method selected but no pricing method data</t>
        </is>
      </c>
      <c r="D8" s="178">
        <f>SUMPRODUCT(('PROCESSES'!$G$6:$G$17&lt;&gt;"")*('PROCESSES'!$G$6:$G$17&lt;&gt;"Nie dotyczy")*('PROCESSES'!$O$6:$O$17=0))</f>
        <v/>
      </c>
      <c r="E8" s="179" t="inlineStr">
        <is>
          <t>pcs.</t>
        </is>
      </c>
      <c r="F8" s="180">
        <f>IF($D8=0,"OK","UWAGA")</f>
        <v/>
      </c>
      <c r="G8" s="120" t="inlineStr">
        <is>
          <t>warning</t>
        </is>
      </c>
      <c r="H8" s="169" t="inlineStr">
        <is>
          <t>Complete the fields appropriate for the selected method or change the method to "Not applicable".</t>
        </is>
      </c>
      <c r="J8" s="182" t="inlineStr">
        <is>
          <t>Explicit model constant. Change it if you change the list of fields required in the QA-01 check.</t>
        </is>
      </c>
    </row>
    <row r="9" ht="25.5" customHeight="1" s="95">
      <c r="B9" s="130" t="inlineStr">
        <is>
          <t>QA-03</t>
        </is>
      </c>
      <c r="C9" s="121" t="inlineStr">
        <is>
          <t>Share of completed fields required in COMPANY PROFILE</t>
        </is>
      </c>
      <c r="D9" s="183">
        <f>IF($J$7=0,0,ROUND($D$7/$J$7,4))</f>
        <v/>
      </c>
      <c r="E9" s="179" t="inlineStr">
        <is>
          <t>%</t>
        </is>
      </c>
      <c r="F9" s="180">
        <f>"informacja"</f>
        <v/>
      </c>
      <c r="G9" s="120" t="inlineStr">
        <is>
          <t>—</t>
        </is>
      </c>
      <c r="H9" s="169" t="inlineStr">
        <is>
          <t>Below 50% the result is very rough. Above 80% it can be shown to the management board.</t>
        </is>
      </c>
    </row>
    <row r="10" ht="25.5" customHeight="1" s="95">
      <c r="B10" s="130" t="inlineStr">
        <is>
          <t>QA-04</t>
        </is>
      </c>
      <c r="C10" s="121" t="inlineStr">
        <is>
          <t>Active scenarios with no frequency measure selected</t>
        </is>
      </c>
      <c r="D10" s="178">
        <f>SUMPRODUCT(('SCENARIOS'!$E$7:$E$14="TAK")*('SCENARIOS'!$F$7:$F$14=""))</f>
        <v/>
      </c>
      <c r="E10" s="179" t="inlineStr">
        <is>
          <t>pcs.</t>
        </is>
      </c>
      <c r="F10" s="180">
        <f>IF($D10=0,"OK","UWAGA")</f>
        <v/>
      </c>
      <c r="G10" s="120" t="inlineStr">
        <is>
          <t>warning</t>
        </is>
      </c>
      <c r="H10" s="169" t="inlineStr">
        <is>
          <t>Select 'Events per year' or 'Probability per year'. Do not mix both measures.</t>
        </is>
      </c>
    </row>
    <row r="11" ht="25.5" customHeight="1" s="95">
      <c r="B11" s="130" t="inlineStr">
        <is>
          <t>QA-05</t>
        </is>
      </c>
      <c r="C11" s="121" t="inlineStr">
        <is>
          <t>Active scenarios without any phase time</t>
        </is>
      </c>
      <c r="D11" s="178">
        <f>SUMPRODUCT(('SCENARIOS'!$E$7:$E$14="TAK")*('SCENARIOS'!$K$7:$K$14=0))</f>
        <v/>
      </c>
      <c r="E11" s="179" t="inlineStr">
        <is>
          <t>pcs.</t>
        </is>
      </c>
      <c r="F11" s="180">
        <f>IF($D11=0,"OK","UWAGA")</f>
        <v/>
      </c>
      <c r="G11" s="120" t="inlineStr">
        <is>
          <t>warning</t>
        </is>
      </c>
      <c r="H11" s="169" t="inlineStr">
        <is>
          <t>Complete the phase times in section 3 of the SCENARIOS tab - otherwise the scenario counts for nothing.</t>
        </is>
      </c>
    </row>
    <row r="12" ht="25.5" customHeight="1" s="95">
      <c r="B12" s="130" t="inlineStr">
        <is>
          <t>QA-06</t>
        </is>
      </c>
      <c r="C12" s="121" t="inlineStr">
        <is>
          <t>"Low ≤ Base ≤ High" violations in phase times</t>
        </is>
      </c>
      <c r="D12" s="178">
        <f>SUMPRODUCT(('SCENARIOS'!$D$34:$D$89&lt;&gt;"")*('SCENARIOS'!$D$34:$D$89&gt;'SCENARIOS'!$E$34:$E$89))+SUMPRODUCT(('SCENARIOS'!$F$34:$F$89&lt;&gt;"")*('SCENARIOS'!$F$34:$F$89&lt;'SCENARIOS'!$E$34:$E$89))</f>
        <v/>
      </c>
      <c r="E12" s="179" t="inlineStr">
        <is>
          <t>pcs.</t>
        </is>
      </c>
      <c r="F12" s="180">
        <f>IF($D12=0,"OK","BŁĄD")</f>
        <v/>
      </c>
      <c r="G12" s="120" t="inlineStr">
        <is>
          <t>blocking</t>
        </is>
      </c>
      <c r="H12" s="169" t="inlineStr">
        <is>
          <t>The low variant cannot be longer than the base variant, and the high variant cannot be shorter than the base variant.</t>
        </is>
      </c>
    </row>
    <row r="13" ht="25.5" customHeight="1" s="95">
      <c r="B13" s="130" t="inlineStr">
        <is>
          <t>QA-07</t>
        </is>
      </c>
      <c r="C13" s="121" t="inlineStr">
        <is>
          <t>“Low ≤ Base ≤ High” violations in quantities and cost rates</t>
        </is>
      </c>
      <c r="D13" s="178">
        <f>SUMPRODUCT(('DETAILED COSTS'!$I$7:$I$126&lt;&gt;"")*('DETAILED COSTS'!$I$7:$I$126&gt;'DETAILED COSTS'!$J$7:$J$126))+SUMPRODUCT(('DETAILED COSTS'!$K$7:$K$126&lt;&gt;"")*('DETAILED COSTS'!$K$7:$K$126&lt;'DETAILED COSTS'!$J$7:$J$126))+SUMPRODUCT(('DETAILED COSTS'!$L$7:$L$126&lt;&gt;"")*('DETAILED COSTS'!$L$7:$L$126&gt;'DETAILED COSTS'!$M$7:$M$126))+SUMPRODUCT(('DETAILED COSTS'!$N$7:$N$126&lt;&gt;"")*('DETAILED COSTS'!$N$7:$N$126&lt;'DETAILED COSTS'!$M$7:$M$126))</f>
        <v/>
      </c>
      <c r="E13" s="179" t="inlineStr">
        <is>
          <t>pcs.</t>
        </is>
      </c>
      <c r="F13" s="180">
        <f>IF($D13=0,"OK","BŁĄD")</f>
        <v/>
      </c>
      <c r="G13" s="120" t="inlineStr">
        <is>
          <t>blocking</t>
        </is>
      </c>
      <c r="H13" s="169" t="inlineStr">
        <is>
          <t>Correct the order of variants in the SPECIAL COSTS tab.</t>
        </is>
      </c>
    </row>
    <row r="14" ht="25.5" customHeight="1" s="95">
      <c r="B14" s="130" t="inlineStr">
        <is>
          <t>QA-08</t>
        </is>
      </c>
      <c r="C14" s="121" t="inlineStr">
        <is>
          <t>“Low ≤ Base ≤ High” violations in non-recoverable share</t>
        </is>
      </c>
      <c r="D14" s="178">
        <f>SUMPRODUCT(('PROCESSES'!$P$6:$P$17&lt;&gt;"")*('PROCESSES'!$P$6:$P$17&gt;'PROCESSES'!$Q$6:$Q$17))+SUMPRODUCT(('PROCESSES'!$R$6:$R$17&lt;&gt;"")*('PROCESSES'!$R$6:$R$17&lt;'PROCESSES'!$Q$6:$Q$17))</f>
        <v/>
      </c>
      <c r="E14" s="179" t="inlineStr">
        <is>
          <t>pcs.</t>
        </is>
      </c>
      <c r="F14" s="180">
        <f>IF($D14=0,"OK","BŁĄD")</f>
        <v/>
      </c>
      <c r="G14" s="120" t="inlineStr">
        <is>
          <t>blocking</t>
        </is>
      </c>
      <c r="H14" s="169" t="inlineStr">
        <is>
          <t>Correct variant order in PROCESSES tab.</t>
        </is>
      </c>
    </row>
    <row r="15" ht="25.5" customHeight="1" s="95">
      <c r="B15" s="130" t="inlineStr">
        <is>
          <t>QA-09</t>
        </is>
      </c>
      <c r="C15" s="121" t="inlineStr">
        <is>
          <t>Negative values or percentages above 100% in key ranges</t>
        </is>
      </c>
      <c r="D15" s="178">
        <f>SUMPRODUCT(('PROCESSES'!$E$6:$E$17&lt;0)*1)+SUMPRODUCT(('SCENARIOS'!$D$34:$F$89&lt;0)*1)+SUMPRODUCT(('DETAILED COSTS'!$I$7:$N$126&lt;0)*1)+SUMPRODUCT(('SCENARIOS'!$G$34:$H$89&gt;1)*1)+SUMPRODUCT(('PROCESSES'!$P$6:$R$17&gt;1)*1)+SUMPRODUCT(('SCENARIOS'!$C$19:$J$30&gt;1)*1)</f>
        <v/>
      </c>
      <c r="E15" s="179" t="inlineStr">
        <is>
          <t>pcs.</t>
        </is>
      </c>
      <c r="F15" s="180">
        <f>IF($D15=0,"OK","BŁĄD")</f>
        <v/>
      </c>
      <c r="G15" s="120" t="inlineStr">
        <is>
          <t>blocking</t>
        </is>
      </c>
      <c r="H15" s="169" t="inlineStr">
        <is>
          <t>Time, number of people, cost and frequency cannot be negative. Loss of capacity, bypass capacity, non-recoverable share and takeover share shall not exceed 100%.</t>
        </is>
      </c>
    </row>
    <row r="16" ht="25.5" customHeight="1" s="95">
      <c r="B16" s="130" t="inlineStr">
        <is>
          <t>QA-10</t>
        </is>
      </c>
      <c r="C16" s="121" t="inlineStr">
        <is>
          <t>Items included in the result without a base value</t>
        </is>
      </c>
      <c r="D16" s="178">
        <f>SUMPRODUCT(('DETAILED COSTS'!$T$7:$T$126="TAK")*('DETAILED COSTS'!$J$7:$J$126=""))+SUMPRODUCT(('DETAILED COSTS'!$T$7:$T$126="TAK")*('DETAILED COSTS'!$M$7:$M$126=""))</f>
        <v/>
      </c>
      <c r="E16" s="179" t="inlineStr">
        <is>
          <t>pcs.</t>
        </is>
      </c>
      <c r="F16" s="180">
        <f>IF($D16=0,"OK","UWAGA")</f>
        <v/>
      </c>
      <c r="G16" s="120" t="inlineStr">
        <is>
          <t>warning</t>
        </is>
      </c>
      <c r="H16" s="169" t="inlineStr">
        <is>
          <t>No data is NOT zero. Complete the base value or change "Enter in result" to NO or mark the class as UNCOUNTED.</t>
        </is>
      </c>
    </row>
    <row r="17" ht="25.5" customHeight="1" s="95">
      <c r="B17" s="130" t="inlineStr">
        <is>
          <t>QA-11</t>
        </is>
      </c>
      <c r="C17" s="121" t="inlineStr">
        <is>
          <t>Processes covered in active scenarios total above 100%</t>
        </is>
      </c>
      <c r="D17" s="178">
        <f>SUMPRODUCT(('SCENARIOS'!$K$19:$K$30&gt;1)*1)</f>
        <v/>
      </c>
      <c r="E17" s="179" t="inlineStr">
        <is>
          <t>pcs.</t>
        </is>
      </c>
      <c r="F17" s="180">
        <f>IF($D17=0,"OK","UWAGA")</f>
        <v/>
      </c>
      <c r="G17" s="120" t="inlineStr">
        <is>
          <t>warning</t>
        </is>
      </c>
      <c r="H17" s="169" t="inlineStr">
        <is>
          <t>This usually means that two scenarios describe the same event - a risk of double counting.</t>
        </is>
      </c>
    </row>
    <row r="18" ht="25.5" customHeight="1" s="95">
      <c r="B18" s="130" t="inlineStr">
        <is>
          <t>QA-12</t>
        </is>
      </c>
      <c r="C18" s="121" t="inlineStr">
        <is>
          <t>Risk of duplication: K1 category with P&amp;L perspective</t>
        </is>
      </c>
      <c r="D18" s="178">
        <f>COUNTIFS('DETAILED COSTS'!$D$7:$D$126,"K1 Ludzie i produktywność",'DETAILED COSTS'!$F$7:$F$126,"P&amp;L",'DETAILED COSTS'!$T$7:$T$126,"TAK")</f>
        <v/>
      </c>
      <c r="E18" s="179" t="inlineStr">
        <is>
          <t>pcs.</t>
        </is>
      </c>
      <c r="F18" s="180">
        <f>IF($D18=0,"OK","UWAGA")</f>
        <v/>
      </c>
      <c r="G18" s="120" t="inlineStr">
        <is>
          <t>warning</t>
        </is>
      </c>
      <c r="H18" s="169" t="inlineStr">
        <is>
          <t>The cost of people's time falls into the CAPABILITY (base salary) or CASH (overtime, contractor) perspective. The P&amp;L perspective doubles the lost margin.</t>
        </is>
      </c>
    </row>
    <row r="19" ht="25.5" customHeight="1" s="95">
      <c r="B19" s="130" t="inlineStr">
        <is>
          <t>QA-13</t>
        </is>
      </c>
      <c r="C19" s="121" t="inlineStr">
        <is>
          <t>Exclusion groups with more than one "YES" line</t>
        </is>
      </c>
      <c r="D19" s="178">
        <f>IFERROR(SUMPRODUCT(('DETAILED COSTS'!$R$7:$R$126&lt;&gt;"")*('DETAILED COSTS'!$T$7:$T$126="TAK")*(COUNTIFS('DETAILED COSTS'!$R$7:$R$126,'DETAILED COSTS'!$R$7:$R$126,'DETAILED COSTS'!$T$7:$T$126,"TAK")&gt;1)),0)</f>
        <v/>
      </c>
      <c r="E19" s="179" t="inlineStr">
        <is>
          <t>pcs.</t>
        </is>
      </c>
      <c r="F19" s="180">
        <f>IF($D19=0,"OK","BŁĄD")</f>
        <v/>
      </c>
      <c r="G19" s="120" t="inlineStr">
        <is>
          <t>blocking</t>
        </is>
      </c>
      <c r="H19" s="169" t="inlineStr">
        <is>
          <t>In one exclusion group, only one row can enter the result.</t>
        </is>
      </c>
    </row>
    <row r="20" ht="25.5" customHeight="1" s="95">
      <c r="B20" s="130" t="inlineStr">
        <is>
          <t>QA-14</t>
        </is>
      </c>
      <c r="C20" s="121" t="inlineStr">
        <is>
          <t>Items marked as UNCOUNTED</t>
        </is>
      </c>
      <c r="D20" s="178">
        <f>COUNTIF('DETAILED COSTS'!$O$7:$O$126,"NIEPOLICZONE")+COUNTIF('CLIENT LEGAL AND CYBER'!$J$9:$J$38,"NIEPOLICZONE")</f>
        <v/>
      </c>
      <c r="E20" s="179" t="inlineStr">
        <is>
          <t>pcs.</t>
        </is>
      </c>
      <c r="F20" s="180">
        <f>"informacja"</f>
        <v/>
      </c>
      <c r="G20" s="120" t="inlineStr">
        <is>
          <t>—</t>
        </is>
      </c>
      <c r="H20" s="169" t="inlineStr">
        <is>
          <t>These are recognized exposures without sufficient data. Honestly shown, intentionally uncounted.</t>
        </is>
      </c>
    </row>
    <row r="21" ht="25.5" customHeight="1" s="95">
      <c r="B21" s="130" t="inlineStr">
        <is>
          <t>QA-15</t>
        </is>
      </c>
      <c r="C21" s="121" t="inlineStr">
        <is>
          <t>Conditional exposures enabled with no given probability</t>
        </is>
      </c>
      <c r="D21" s="178">
        <f>SUMPRODUCT(('CLIENT LEGAL AND CYBER'!$E$9:$E$38="WARUNKOWA")*('CLIENT LEGAL AND CYBER'!$L$9:$L$38="TAK")*('CLIENT LEGAL AND CYBER'!$I$9:$I$38=""))+SUMPRODUCT(('DETAILED COSTS'!$F$7:$F$126="WARUNKOWA")*('DETAILED COSTS'!$T$7:$T$126="TAK")*('DETAILED COSTS'!$M$7:$M$126=""))</f>
        <v/>
      </c>
      <c r="E21" s="179" t="inlineStr">
        <is>
          <t>pcs.</t>
        </is>
      </c>
      <c r="F21" s="180">
        <f>IF($D21=0,"OK","BŁĄD")</f>
        <v/>
      </c>
      <c r="G21" s="120" t="inlineStr">
        <is>
          <t>blocking</t>
        </is>
      </c>
      <c r="H21" s="169" t="inlineStr">
        <is>
          <t>Conditional exposure requires a conscious statement of a probability. Without it the score is 0.</t>
        </is>
      </c>
    </row>
    <row r="22" ht="25.5" customHeight="1" s="95">
      <c r="B22" s="130" t="inlineStr">
        <is>
          <t>QA-16</t>
        </is>
      </c>
      <c r="C22" s="121" t="inlineStr">
        <is>
          <t>Non-commercial organization with a margin valuation method set</t>
        </is>
      </c>
      <c r="D22" s="178">
        <f>IF('COMPANY PROFILE'!$D$10&lt;&gt;"Niekomercyjna",0,SUMPRODUCT(('PROCESSES'!$G$6:$G$17&lt;&gt;"")*('PROCESSES'!$G$6:$G$17&lt;&gt;"Nie dotyczy")))</f>
        <v/>
      </c>
      <c r="E22" s="179" t="inlineStr">
        <is>
          <t>pcs.</t>
        </is>
      </c>
      <c r="F22" s="180">
        <f>IF($D22=0,"OK","UWAGA")</f>
        <v/>
      </c>
      <c r="G22" s="120" t="inlineStr">
        <is>
          <t>warning</t>
        </is>
      </c>
      <c r="H22" s="169" t="inlineStr">
        <is>
          <t>For organizations without revenue, use the "N/A" method. We do not force fictitious income.</t>
        </is>
      </c>
    </row>
    <row r="23" ht="25.5" customHeight="1" s="95">
      <c r="B23" s="130" t="inlineStr">
        <is>
          <t>QA-17</t>
        </is>
      </c>
      <c r="C23" s="121" t="inlineStr">
        <is>
          <t>Text entered in numeric fields</t>
        </is>
      </c>
      <c r="D23" s="178">
        <f>(COUNTA('DETAILED COSTS'!$I$7:$N$126)-COUNT('DETAILED COSTS'!$I$7:$N$126))+(COUNTA('PROCESSES'!$E$6:$F$17)-COUNT('PROCESSES'!$E$6:$F$17))</f>
        <v/>
      </c>
      <c r="E23" s="179" t="inlineStr">
        <is>
          <t>pcs.</t>
        </is>
      </c>
      <c r="F23" s="180">
        <f>IF($D23=0,"OK","BŁĄD")</f>
        <v/>
      </c>
      <c r="G23" s="120" t="inlineStr">
        <is>
          <t>blocking</t>
        </is>
      </c>
      <c r="H23" s="169" t="inlineStr">
        <is>
          <t>Remove text and units from number fields - the unit is already in the column header.</t>
        </is>
      </c>
    </row>
    <row r="24" ht="25.5" customHeight="1" s="95">
      <c r="B24" s="130" t="inlineStr">
        <is>
          <t>QA-18</t>
        </is>
      </c>
      <c r="C24" s="121" t="inlineStr">
        <is>
          <t>Formula errors in result blocks</t>
        </is>
      </c>
      <c r="D24" s="178">
        <f>SUMPRODUCT(ISERROR('SCENARIOS'!$C$93:$J$141)*1)+SUMPRODUCT(ISERROR('DETAILED COSTS'!$V$7:$X$126)*1)</f>
        <v/>
      </c>
      <c r="E24" s="179" t="inlineStr">
        <is>
          <t>pcs.</t>
        </is>
      </c>
      <c r="F24" s="180">
        <f>IF($D24=0,"OK","BŁĄD")</f>
        <v/>
      </c>
      <c r="G24" s="120" t="inlineStr">
        <is>
          <t>blocking</t>
        </is>
      </c>
      <c r="H24" s="169" t="inlineStr">
        <is>
          <t>If there is anything other than zero here, the result is unreliable - report it.</t>
        </is>
      </c>
    </row>
    <row r="25" ht="25.5" customHeight="1" s="95">
      <c r="B25" s="130" t="inlineStr">
        <is>
          <t>QA-19</t>
        </is>
      </c>
      <c r="C25" s="121" t="inlineStr">
        <is>
          <t>Proportion of high confidence items among those included in the result</t>
        </is>
      </c>
      <c r="D25" s="183">
        <f>IF(COUNTIF('DETAILED COSTS'!$T$7:$T$126,"TAK")=0,0,ROUND(COUNTIFS('DETAILED COSTS'!$T$7:$T$126,"TAK",'DETAILED COSTS'!$Q$7:$Q$126,"Wysoka")/COUNTIF('DETAILED COSTS'!$T$7:$T$126,"TAK"),4))</f>
        <v/>
      </c>
      <c r="E25" s="179" t="inlineStr">
        <is>
          <t>%</t>
        </is>
      </c>
      <c r="F25" s="180">
        <f>"informacja"</f>
        <v/>
      </c>
      <c r="G25" s="120" t="inlineStr">
        <is>
          <t>—</t>
        </is>
      </c>
      <c r="H25" s="169" t="inlineStr">
        <is>
          <t>The higher it is, the easier it is to defend the result from accounting.</t>
        </is>
      </c>
    </row>
    <row r="26" ht="25.5" customHeight="1" s="95">
      <c r="B26" s="130" t="inlineStr">
        <is>
          <t>QA-20</t>
        </is>
      </c>
      <c r="C26" s="121" t="inlineStr">
        <is>
          <t>Items included in the score without an assigned scenario</t>
        </is>
      </c>
      <c r="D26" s="178">
        <f>SUMPRODUCT(('DETAILED COSTS'!$T$7:$T$126="TAK")*('DETAILED COSTS'!$B$7:$B$126=""))</f>
        <v/>
      </c>
      <c r="E26" s="179" t="inlineStr">
        <is>
          <t>pcs.</t>
        </is>
      </c>
      <c r="F26" s="180">
        <f>IF($D26=0,"OK","BŁĄD")</f>
        <v/>
      </c>
      <c r="G26" s="120" t="inlineStr">
        <is>
          <t>blocking</t>
        </is>
      </c>
      <c r="H26" s="169" t="inlineStr">
        <is>
          <t>Without a script, the item will never make it to any score.</t>
        </is>
      </c>
    </row>
    <row r="27" ht="15" customHeight="1" s="95">
      <c r="C27" s="130" t="inlineStr">
        <is>
          <t>Open warnings and errors together</t>
        </is>
      </c>
      <c r="D27" s="178">
        <f>SUM($D$8,$D$10,$D$11,$D$12,$D$13,$D$14,$D$15,$D$16,$D$17,$D$18,$D$19,$D$21,$D$22,$D$23,$D$24,$D$26)</f>
        <v/>
      </c>
    </row>
    <row r="28" ht="15" customHeight="1" s="95">
      <c r="C28" s="130" t="inlineStr">
        <is>
          <t>Data completeness assessment</t>
        </is>
      </c>
      <c r="D28" s="184">
        <f>IF($D$24&gt;0,"Niska — błędy formuł",IF(OR($D$9&lt;0.5,$D$27&gt;5),"Niska",IF(AND($D$9&gt;=0.8,$D$16=0,$D$27=0),"Wysoka","Średnia")))</f>
        <v/>
      </c>
    </row>
    <row r="29"/>
    <row r="30"/>
    <row r="31" ht="19.5" customHeight="1" s="95">
      <c r="A31" s="99" t="inlineStr">
        <is>
          <t xml:space="preserve">  WHAT DO THE CONTROL SCALES MEAN</t>
        </is>
      </c>
      <c r="B31" s="100" t="n"/>
      <c r="C31" s="100" t="n"/>
      <c r="D31" s="100" t="n"/>
      <c r="E31" s="100" t="n"/>
      <c r="F31" s="100" t="n"/>
      <c r="G31" s="100" t="n"/>
      <c r="H31" s="100" t="n"/>
    </row>
    <row r="32" ht="16.5" customHeight="1" s="95">
      <c r="C32" s="132" t="inlineStr">
        <is>
          <t>• blocking - until the result is 0, do not show numbers outside. These are mistakes that change the result, not just spoil the aesthetics.</t>
        </is>
      </c>
    </row>
    <row r="33" ht="16.5" customHeight="1" s="95">
      <c r="C33" s="132" t="inlineStr">
        <is>
          <t>• warning - the result can be shown, but you need to know what is missing. Report this as a data gap.</t>
        </is>
      </c>
    </row>
    <row r="34" ht="16.5" customHeight="1" s="95">
      <c r="C34" s="132" t="inlineStr">
        <is>
          <t>• information - an auxiliary number for assessing data quality, not an error.</t>
        </is>
      </c>
    </row>
    <row r="35" ht="16.5" customHeight="1" s="95">
      <c r="C35" s="132" t="inlineStr">
        <is>
          <t>• The QA tab checks the data, not the accuracy of your understanding of the business. Even with only "OK", it is worth comparing the result with accounting and operations.</t>
        </is>
      </c>
    </row>
  </sheetData>
  <mergeCells count="6">
    <mergeCell ref="C33:H33"/>
    <mergeCell ref="C32:H32"/>
    <mergeCell ref="A3:H3"/>
    <mergeCell ref="A2:H2"/>
    <mergeCell ref="C35:H35"/>
    <mergeCell ref="C34:H34"/>
  </mergeCells>
  <conditionalFormatting sqref="F7:F26">
    <cfRule type="cellIs" rank="0" priority="2" equalAverage="0" operator="equal" aboveAverage="0" dxfId="0" text="" percent="0" bottom="0">
      <formula>"OK"</formula>
    </cfRule>
    <cfRule type="cellIs" rank="0" priority="3" equalAverage="0" operator="equal" aboveAverage="0" dxfId="1" text="" percent="0" bottom="0">
      <formula>"UWAGA"</formula>
    </cfRule>
    <cfRule type="cellIs" rank="0" priority="4" equalAverage="0" operator="equal" aboveAverage="0" dxfId="2" text="" percent="0" bottom="0">
      <formula>"BŁĄD"</formula>
    </cfRule>
  </conditionalFormatting>
  <printOptions horizontalCentered="0" verticalCentered="0" headings="0" gridLines="0" gridLinesSet="1"/>
  <pageMargins left="0.4" right="0.4" top="0.4" bottom="0.4" header="0.511811023622047" footer="0.511811023622047"/>
  <pageSetup orientation="landscape" paperSize="9" scale="100" fitToHeight="1" fitToWidth="1" pageOrder="downThenOver" blackAndWhite="0" draft="0" horizontalDpi="300" verticalDpi="300" copies="1"/>
</worksheet>
</file>

<file path=xl/worksheets/sheet17.xml><?xml version="1.0" encoding="utf-8"?>
<worksheet xmlns="http://schemas.openxmlformats.org/spreadsheetml/2006/main">
  <sheetPr filterMode="0">
    <tabColor rgb="FF0164FF"/>
    <outlinePr summaryBelow="1" summaryRight="1"/>
    <pageSetUpPr fitToPage="0"/>
  </sheetPr>
  <dimension ref="A1:V20"/>
  <sheetViews>
    <sheetView showFormulas="0" showGridLines="0" showRowColHeaders="1" showZeros="1" rightToLeft="0" tabSelected="0" showOutlineSymbols="1" defaultGridColor="1" view="normal" topLeftCell="A1" colorId="64" zoomScale="100" zoomScaleNormal="100" zoomScalePageLayoutView="100" workbookViewId="0">
      <pane xSplit="0" ySplit="7" topLeftCell="A8"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28" customWidth="1" style="94" min="1" max="21"/>
    <col width="36" customWidth="1" style="94" min="22" max="22"/>
  </cols>
  <sheetData>
    <row r="1" ht="15" customHeight="1" s="95">
      <c r="A1" s="116" t="inlineStr">
        <is>
          <t>NexaIT</t>
        </is>
      </c>
    </row>
    <row r="2" ht="24" customHeight="1" s="95">
      <c r="A2" s="117" t="inlineStr">
        <is>
          <t>Support lists</t>
        </is>
      </c>
    </row>
    <row r="3" ht="30" customHeight="1" s="95">
      <c r="A3" s="118" t="inlineStr">
        <is>
          <t>Sources for drop-down lists. Do not remove this tab - it powers SUMIFS validations and formulas throughout the workbook.</t>
        </is>
      </c>
    </row>
    <row r="4"/>
    <row r="5"/>
    <row r="6"/>
    <row r="7" ht="30" customHeight="1" s="95">
      <c r="A7" s="185" t="inlineStr">
        <is>
          <t>Organization type</t>
        </is>
      </c>
      <c r="B7" s="185" t="inlineStr">
        <is>
          <t>Cost basis</t>
        </is>
      </c>
      <c r="C7" s="185" t="inlineStr">
        <is>
          <t>Industry/profile</t>
        </is>
      </c>
      <c r="D7" s="185" t="inlineStr">
        <is>
          <t>Process valuation method</t>
        </is>
      </c>
      <c r="E7" s="185" t="inlineStr">
        <is>
          <t>Event type</t>
        </is>
      </c>
      <c r="F7" s="185" t="inlineStr">
        <is>
          <t>Perspective</t>
        </is>
      </c>
      <c r="G7" s="185" t="inlineStr">
        <is>
          <t>Value class</t>
        </is>
      </c>
      <c r="H7" s="185" t="inlineStr">
        <is>
          <t>Confidence Level</t>
        </is>
      </c>
      <c r="I7" s="185" t="inlineStr">
        <is>
          <t>YES / NO</t>
        </is>
      </c>
      <c r="J7" s="185" t="inlineStr">
        <is>
          <t>A measure of frequency</t>
        </is>
      </c>
      <c r="K7" s="185" t="inlineStr">
        <is>
          <t>Cost category</t>
        </is>
      </c>
      <c r="L7" s="185" t="inlineStr">
        <is>
          <t>Scenario ID</t>
        </is>
      </c>
      <c r="M7" s="185" t="inlineStr">
        <is>
          <t>Process ID</t>
        </is>
      </c>
      <c r="N7" s="185" t="inlineStr">
        <is>
          <t>Risk of duplication</t>
        </is>
      </c>
      <c r="O7" s="185" t="inlineStr">
        <is>
          <t>Copy reliability</t>
        </is>
      </c>
      <c r="P7" s="185" t="inlineStr">
        <is>
          <t>Recognition of the cost of own work</t>
        </is>
      </c>
      <c r="Q7" s="185" t="inlineStr">
        <is>
          <t>Criticality</t>
        </is>
      </c>
      <c r="R7" s="185" t="inlineStr">
        <is>
          <t>Dependency type</t>
        </is>
      </c>
      <c r="S7" s="185" t="inlineStr">
        <is>
          <t>Position calculation method</t>
        </is>
      </c>
      <c r="T7" s="185" t="inlineStr">
        <is>
          <t>Client / legal / cyber area</t>
        </is>
      </c>
      <c r="U7" s="185" t="inlineStr">
        <is>
          <t>Waiting period model</t>
        </is>
      </c>
      <c r="V7" s="186" t="inlineStr">
        <is>
          <t>Event phases</t>
        </is>
      </c>
    </row>
    <row r="8" ht="15" customHeight="1" s="95">
      <c r="A8" s="187" t="inlineStr">
        <is>
          <t>Commercial</t>
        </is>
      </c>
      <c r="B8" s="187" t="inlineStr">
        <is>
          <t>Net (VAT deductible)</t>
        </is>
      </c>
      <c r="C8" s="187" t="inlineStr">
        <is>
          <t>Production</t>
        </is>
      </c>
      <c r="D8" s="187" t="inlineStr">
        <is>
          <t>Revenue</t>
        </is>
      </c>
      <c r="E8" s="187" t="inlineStr">
        <is>
          <t>No Internet/WAN</t>
        </is>
      </c>
      <c r="F8" s="187" t="inlineStr">
        <is>
          <t>CASH</t>
        </is>
      </c>
      <c r="G8" s="187" t="inlineStr">
        <is>
          <t>USER DETAILS</t>
        </is>
      </c>
      <c r="H8" s="187" t="inlineStr">
        <is>
          <t>High</t>
        </is>
      </c>
      <c r="I8" s="187" t="inlineStr">
        <is>
          <t>TAK</t>
        </is>
      </c>
      <c r="J8" s="187" t="inlineStr">
        <is>
          <t>Events per year</t>
        </is>
      </c>
      <c r="K8" s="187" t="inlineStr">
        <is>
          <t>K1 People and productivity</t>
        </is>
      </c>
      <c r="L8" s="187" t="inlineStr">
        <is>
          <t>S1</t>
        </is>
      </c>
      <c r="M8" s="187" t="inlineStr">
        <is>
          <t>—</t>
        </is>
      </c>
      <c r="N8" s="187" t="inlineStr">
        <is>
          <t>None</t>
        </is>
      </c>
      <c r="O8" s="187" t="inlineStr">
        <is>
          <t>Reconstruction tested</t>
        </is>
      </c>
      <c r="P8" s="187" t="inlineStr">
        <is>
          <t>CAPABILITY</t>
        </is>
      </c>
      <c r="Q8" s="187" t="inlineStr">
        <is>
          <t>Critical</t>
        </is>
      </c>
      <c r="R8" s="187" t="inlineStr">
        <is>
          <t>Direct</t>
        </is>
      </c>
      <c r="S8" s="187" t="inlineStr">
        <is>
          <t>Lump sum amount</t>
        </is>
      </c>
      <c r="T8" s="187" t="inlineStr">
        <is>
          <t>Contractual penalties and SLA</t>
        </is>
      </c>
      <c r="U8" s="187" t="inlineStr">
        <is>
          <t>Time franchise</t>
        </is>
      </c>
      <c r="V8" s="187" t="inlineStr">
        <is>
          <t>1. Detection and confirmation</t>
        </is>
      </c>
    </row>
    <row r="9" ht="15" customHeight="1" s="95">
      <c r="A9" s="187" t="inlineStr">
        <is>
          <t>Non-commercial</t>
        </is>
      </c>
      <c r="B9" s="187" t="inlineStr">
        <is>
          <t>Gross (VAT not deductible)</t>
        </is>
      </c>
      <c r="C9" s="187" t="inlineStr">
        <is>
          <t>Warehouse, logistics, wholesale</t>
        </is>
      </c>
      <c r="D9" s="187" t="inlineStr">
        <is>
          <t>Single</t>
        </is>
      </c>
      <c r="E9" s="187" t="inlineStr">
        <is>
          <t>LAN failure / Wi-Fi</t>
        </is>
      </c>
      <c r="F9" s="187" t="inlineStr">
        <is>
          <t>P&amp;L</t>
        </is>
      </c>
      <c r="G9" s="187" t="inlineStr">
        <is>
          <t>SOURCE DATA</t>
        </is>
      </c>
      <c r="H9" s="187" t="inlineStr">
        <is>
          <t>Average</t>
        </is>
      </c>
      <c r="I9" s="187" t="inlineStr">
        <is>
          <t>NIE</t>
        </is>
      </c>
      <c r="J9" s="187" t="inlineStr">
        <is>
          <t>Probability in a year</t>
        </is>
      </c>
      <c r="K9" s="187" t="inlineStr">
        <is>
          <t>K2 Sales, revenue and margin</t>
        </is>
      </c>
      <c r="L9" s="187" t="inlineStr">
        <is>
          <t>S2</t>
        </is>
      </c>
      <c r="M9" s="187" t="inlineStr">
        <is>
          <t>P01</t>
        </is>
      </c>
      <c r="N9" s="187" t="inlineStr">
        <is>
          <t>Possible - check</t>
        </is>
      </c>
      <c r="O9" s="187" t="inlineStr">
        <is>
          <t>Untested</t>
        </is>
      </c>
      <c r="P9" s="187" t="inlineStr">
        <is>
          <t>CASH</t>
        </is>
      </c>
      <c r="Q9" s="187" t="inlineStr">
        <is>
          <t>High</t>
        </is>
      </c>
      <c r="R9" s="187" t="inlineStr">
        <is>
          <t>Intermediate</t>
        </is>
      </c>
      <c r="S9" s="187" t="inlineStr">
        <is>
          <t>Rate × Quantity</t>
        </is>
      </c>
      <c r="T9" s="187" t="inlineStr">
        <is>
          <t>Compensations, refunds, discounts</t>
        </is>
      </c>
      <c r="U9" s="187" t="inlineStr">
        <is>
          <t>Reverse trigger</t>
        </is>
      </c>
      <c r="V9" s="187" t="inlineStr">
        <is>
          <t>2. Full downtime</t>
        </is>
      </c>
    </row>
    <row r="10" ht="15" customHeight="1" s="95">
      <c r="C10" s="187" t="inlineStr">
        <is>
          <t>Technical trading</t>
        </is>
      </c>
      <c r="D10" s="187" t="inlineStr">
        <is>
          <t>Billable</t>
        </is>
      </c>
      <c r="E10" s="187" t="inlineStr">
        <is>
          <t>Server, storage or virtualization failure</t>
        </is>
      </c>
      <c r="F10" s="187" t="inlineStr">
        <is>
          <t>CAPABILITY</t>
        </is>
      </c>
      <c r="G10" s="187" t="inlineStr">
        <is>
          <t>BENCHMARK</t>
        </is>
      </c>
      <c r="H10" s="187" t="inlineStr">
        <is>
          <t>Low</t>
        </is>
      </c>
      <c r="K10" s="187" t="inlineStr">
        <is>
          <t>K3 Production and throughput</t>
        </is>
      </c>
      <c r="L10" s="187" t="inlineStr">
        <is>
          <t>S3</t>
        </is>
      </c>
      <c r="M10" s="187" t="inlineStr">
        <is>
          <t>P02</t>
        </is>
      </c>
      <c r="O10" s="187" t="inlineStr">
        <is>
          <t>Unknown</t>
        </is>
      </c>
      <c r="Q10" s="187" t="inlineStr">
        <is>
          <t>Medium</t>
        </is>
      </c>
      <c r="R10" s="187" t="inlineStr">
        <is>
          <t>Common cause</t>
        </is>
      </c>
      <c r="S10" s="187" t="inlineStr">
        <is>
          <t>Person-hours × cost per hour</t>
        </is>
      </c>
      <c r="T10" s="187" t="inlineStr">
        <is>
          <t>Communication and additional support</t>
        </is>
      </c>
      <c r="V10" s="187" t="inlineStr">
        <is>
          <t>3. Bypass/emergency operation</t>
        </is>
      </c>
    </row>
    <row r="11" ht="15" customHeight="1" s="95">
      <c r="C11" s="187" t="inlineStr">
        <is>
          <t>Accounting office/law firm</t>
        </is>
      </c>
      <c r="D11" s="187" t="inlineStr">
        <is>
          <t>Manual</t>
        </is>
      </c>
      <c r="E11" s="187" t="inlineStr">
        <is>
          <t>Unavailability of ERP / WMS / MES / accounting system</t>
        </is>
      </c>
      <c r="F11" s="187" t="inlineStr">
        <is>
          <t>WARUNKOWA</t>
        </is>
      </c>
      <c r="G11" s="187" t="inlineStr">
        <is>
          <t>ASSUMPTION</t>
        </is>
      </c>
      <c r="K11" s="187" t="inlineStr">
        <is>
          <t>K4 Warehouse, logistics and trade</t>
        </is>
      </c>
      <c r="L11" s="187" t="inlineStr">
        <is>
          <t>S4</t>
        </is>
      </c>
      <c r="M11" s="187" t="inlineStr">
        <is>
          <t>P03</t>
        </is>
      </c>
      <c r="Q11" s="187" t="inlineStr">
        <is>
          <t>Low</t>
        </is>
      </c>
      <c r="S11" s="187" t="inlineStr">
        <is>
          <t>Records × time × cost per hour</t>
        </is>
      </c>
      <c r="T11" s="187" t="inlineStr">
        <is>
          <t>Data Breach Handling</t>
        </is>
      </c>
      <c r="V11" s="187" t="inlineStr">
        <is>
          <t>4. Partial restoration</t>
        </is>
      </c>
    </row>
    <row r="12" ht="15" customHeight="1" s="95">
      <c r="C12" s="187" t="inlineStr">
        <is>
          <t>Professional services</t>
        </is>
      </c>
      <c r="D12" s="187" t="inlineStr">
        <is>
          <t>Not applicable</t>
        </is>
      </c>
      <c r="E12" s="187" t="inlineStr">
        <is>
          <t>Unavailability Microsoft 365 / Google Workspace / SaaS</t>
        </is>
      </c>
      <c r="F12" s="187" t="inlineStr">
        <is>
          <t>ODZYSK</t>
        </is>
      </c>
      <c r="G12" s="187" t="inlineStr">
        <is>
          <t>WYNIK</t>
        </is>
      </c>
      <c r="K12" s="187" t="inlineStr">
        <is>
          <t>K5 Professional Services and Offices</t>
        </is>
      </c>
      <c r="L12" s="187" t="inlineStr">
        <is>
          <t>S5</t>
        </is>
      </c>
      <c r="M12" s="187" t="inlineStr">
        <is>
          <t>P04</t>
        </is>
      </c>
      <c r="S12" s="187" t="inlineStr">
        <is>
          <t>Deferral Financing</t>
        </is>
      </c>
      <c r="T12" s="187" t="inlineStr">
        <is>
          <t>Regulatory Obligations - Service Cost</t>
        </is>
      </c>
      <c r="V12" s="187" t="inlineStr">
        <is>
          <t>5. Full technical restoration</t>
        </is>
      </c>
    </row>
    <row r="13" ht="15" customHeight="1" s="95">
      <c r="C13" s="187" t="inlineStr">
        <is>
          <t>School/public institution</t>
        </is>
      </c>
      <c r="E13" s="187" t="inlineStr">
        <is>
          <t>Power or UPS failure</t>
        </is>
      </c>
      <c r="G13" s="187" t="inlineStr">
        <is>
          <t>NIEPOLICZONE</t>
        </is>
      </c>
      <c r="K13" s="187" t="inlineStr">
        <is>
          <t>K6 Public sector and education</t>
        </is>
      </c>
      <c r="L13" s="187" t="inlineStr">
        <is>
          <t>S6</t>
        </is>
      </c>
      <c r="M13" s="187" t="inlineStr">
        <is>
          <t>P05</t>
        </is>
      </c>
      <c r="S13" s="187" t="inlineStr">
        <is>
          <t>Amount × Probability</t>
        </is>
      </c>
      <c r="T13" s="187" t="inlineStr">
        <is>
          <t>Risk of customer churn</t>
        </is>
      </c>
      <c r="V13" s="187" t="inlineStr">
        <is>
          <t>6. Stabilization, data verification, backlog</t>
        </is>
      </c>
    </row>
    <row r="14" ht="15" customHeight="1" s="95">
      <c r="C14" s="187" t="inlineStr">
        <is>
          <t>Other</t>
        </is>
      </c>
      <c r="E14" s="187" t="inlineStr">
        <is>
          <t>Data corruption or recovery failure</t>
        </is>
      </c>
      <c r="K14" s="187" t="inlineStr">
        <is>
          <t>K7 Technical recovery</t>
        </is>
      </c>
      <c r="L14" s="187" t="inlineStr">
        <is>
          <t>S7</t>
        </is>
      </c>
      <c r="M14" s="187" t="inlineStr">
        <is>
          <t>P06</t>
        </is>
      </c>
      <c r="S14" s="187" t="inlineStr">
        <is>
          <t>Other - describe in a note</t>
        </is>
      </c>
      <c r="T14" s="187" t="inlineStr">
        <is>
          <t>Lost contract or tender</t>
        </is>
      </c>
      <c r="V14" s="187" t="inlineStr">
        <is>
          <t>7. Return to normal performance</t>
        </is>
      </c>
    </row>
    <row r="15" ht="15" customHeight="1" s="95">
      <c r="E15" s="187" t="inlineStr">
        <is>
          <t>Cyber attack/ransomware</t>
        </is>
      </c>
      <c r="K15" s="187" t="inlineStr">
        <is>
          <t>K8 Data and information retrieval</t>
        </is>
      </c>
      <c r="L15" s="187" t="inlineStr">
        <is>
          <t>S8</t>
        </is>
      </c>
      <c r="M15" s="187" t="inlineStr">
        <is>
          <t>P07</t>
        </is>
      </c>
      <c r="T15" s="187" t="inlineStr">
        <is>
          <t>Ransomware - Ransom (Manual Only)</t>
        </is>
      </c>
    </row>
    <row r="16" ht="15" customHeight="1" s="95">
      <c r="E16" s="187" t="inlineStr">
        <is>
          <t>Change or update error</t>
        </is>
      </c>
      <c r="K16" s="187" t="inlineStr">
        <is>
          <t>K9 Customers, contracts, communication</t>
        </is>
      </c>
      <c r="M16" s="187" t="inlineStr">
        <is>
          <t>P08</t>
        </is>
      </c>
      <c r="T16" s="187" t="inlineStr">
        <is>
          <t>Others</t>
        </is>
      </c>
    </row>
    <row r="17" ht="15" customHeight="1" s="95">
      <c r="E17" s="187" t="inlineStr">
        <is>
          <t>Vendor or integration failure</t>
        </is>
      </c>
      <c r="K17" s="187" t="inlineStr">
        <is>
          <t>K10 Cyber, data breach, fraud</t>
        </is>
      </c>
      <c r="M17" s="187" t="inlineStr">
        <is>
          <t>P09</t>
        </is>
      </c>
    </row>
    <row r="18" ht="15" customHeight="1" s="95">
      <c r="E18" s="187" t="inlineStr">
        <is>
          <t>Multi-location incident</t>
        </is>
      </c>
      <c r="K18" s="187" t="inlineStr">
        <is>
          <t>K11 Other costs</t>
        </is>
      </c>
      <c r="M18" s="187" t="inlineStr">
        <is>
          <t>P10</t>
        </is>
      </c>
    </row>
    <row r="19" ht="15" customHeight="1" s="95">
      <c r="E19" s="187" t="inlineStr">
        <is>
          <t>Partial performance degradation</t>
        </is>
      </c>
      <c r="K19" s="187" t="inlineStr">
        <is>
          <t>K12 Recoveries</t>
        </is>
      </c>
      <c r="M19" s="187" t="inlineStr">
        <is>
          <t>P11</t>
        </is>
      </c>
    </row>
    <row r="20" ht="15" customHeight="1" s="95">
      <c r="M20" s="187" t="inlineStr">
        <is>
          <t>P12</t>
        </is>
      </c>
    </row>
  </sheetData>
  <mergeCells count="2">
    <mergeCell ref="A3:H3"/>
    <mergeCell ref="A2:H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tabColor rgb="FF0164FF"/>
    <outlinePr summaryBelow="1" summaryRight="1"/>
    <pageSetUpPr fitToPage="1"/>
  </sheetPr>
  <dimension ref="A1:G41"/>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8" customWidth="1" style="94" min="1" max="1"/>
    <col width="46" customWidth="1" style="94" min="2" max="2"/>
    <col width="10" customWidth="1" style="94" min="3" max="3"/>
    <col width="16" customWidth="1" style="94" min="4" max="6"/>
    <col width="62" customWidth="1" style="94" min="7" max="7"/>
  </cols>
  <sheetData>
    <row r="1" ht="15" customHeight="1" s="95">
      <c r="A1" s="116" t="inlineStr">
        <is>
          <t>NexaIT</t>
        </is>
      </c>
    </row>
    <row r="2" ht="24" customHeight="1" s="95">
      <c r="A2" s="117" t="inlineStr">
        <is>
          <t>Fast Mode - Minimum defensive cost per downtime</t>
        </is>
      </c>
    </row>
    <row r="3" ht="16.5" customHeight="1" s="95">
      <c r="A3" s="118" t="inlineStr">
        <is>
          <t>Complete 11 fields. The result is deliberately conservative: it shows only what can be calculated from this data. The advanced mode gives you the full picture.</t>
        </is>
      </c>
    </row>
    <row r="4"/>
    <row r="5" ht="19.5" customHeight="1" s="95">
      <c r="A5" s="99" t="inlineStr">
        <is>
          <t xml:space="preserve">  1. YOUR DATA</t>
        </is>
      </c>
      <c r="B5" s="100" t="n"/>
      <c r="C5" s="100" t="n"/>
      <c r="D5" s="100" t="n"/>
      <c r="E5" s="100" t="n"/>
      <c r="F5" s="100" t="n"/>
      <c r="G5" s="100" t="n"/>
    </row>
    <row r="6" ht="25.5" customHeight="1" s="95">
      <c r="A6" s="119" t="inlineStr">
        <is>
          <t>ID</t>
        </is>
      </c>
      <c r="B6" s="119" t="inlineStr">
        <is>
          <t>Field</t>
        </is>
      </c>
      <c r="C6" s="119" t="inlineStr">
        <is>
          <t>Unit</t>
        </is>
      </c>
      <c r="D6" s="119" t="inlineStr">
        <is>
          <t>Value</t>
        </is>
      </c>
      <c r="G6" s="119" t="inlineStr">
        <is>
          <t>How to fill it out</t>
        </is>
      </c>
    </row>
    <row r="7" ht="24" customHeight="1" s="95">
      <c r="A7" s="120" t="inlineStr">
        <is>
          <t>SW-01</t>
        </is>
      </c>
      <c r="B7" s="121" t="inlineStr">
        <is>
          <t>Number of people whose work stops or slows down significantly</t>
        </is>
      </c>
      <c r="C7" s="122" t="inlineStr">
        <is>
          <t>pers.</t>
        </is>
      </c>
      <c r="D7" s="123" t="n"/>
      <c r="G7" s="107" t="inlineStr">
        <is>
          <t>Count only those whose work actually depends on the damaged system.</t>
        </is>
      </c>
    </row>
    <row r="8" ht="24" customHeight="1" s="95">
      <c r="A8" s="120" t="inlineStr">
        <is>
          <t>SW-02</t>
        </is>
      </c>
      <c r="B8" s="121" t="inlineStr">
        <is>
          <t>Downtime - Low variant</t>
        </is>
      </c>
      <c r="C8" s="122" t="inlineStr">
        <is>
          <t>h</t>
        </is>
      </c>
      <c r="D8" s="124" t="n"/>
      <c r="G8" s="107" t="inlineStr">
        <is>
          <t>The shortest realistic event sequence.</t>
        </is>
      </c>
    </row>
    <row r="9" ht="24" customHeight="1" s="95">
      <c r="A9" s="120" t="inlineStr">
        <is>
          <t>SW-03</t>
        </is>
      </c>
      <c r="B9" s="121" t="inlineStr">
        <is>
          <t>Downtime - Baseline</t>
        </is>
      </c>
      <c r="C9" s="122" t="inlineStr">
        <is>
          <t>h</t>
        </is>
      </c>
      <c r="D9" s="124" t="n"/>
      <c r="G9" s="107" t="inlineStr">
        <is>
          <t>Most likely mileage.</t>
        </is>
      </c>
    </row>
    <row r="10" ht="24" customHeight="1" s="95">
      <c r="A10" s="120" t="inlineStr">
        <is>
          <t>SW-04</t>
        </is>
      </c>
      <c r="B10" s="121" t="inlineStr">
        <is>
          <t>Downtime - High variant</t>
        </is>
      </c>
      <c r="C10" s="122" t="inlineStr">
        <is>
          <t>h</t>
        </is>
      </c>
      <c r="D10" s="124" t="n"/>
      <c r="G10" s="107" t="inlineStr">
        <is>
          <t>Pessimistic, but real.</t>
        </is>
      </c>
    </row>
    <row r="11" ht="24" customHeight="1" s="95">
      <c r="A11" s="120" t="inlineStr">
        <is>
          <t>SW-05</t>
        </is>
      </c>
      <c r="B11" s="121" t="inlineStr">
        <is>
          <t>Average productivity loss over this time</t>
        </is>
      </c>
      <c r="C11" s="122" t="inlineStr">
        <is>
          <t>%</t>
        </is>
      </c>
      <c r="D11" s="125" t="n"/>
      <c r="G11" s="107" t="inlineStr">
        <is>
          <t>100% = full stop. If people do something different or a workaround works, enter less.</t>
        </is>
      </c>
    </row>
    <row r="12" ht="24" customHeight="1" s="95">
      <c r="A12" s="120" t="inlineStr">
        <is>
          <t>SW-06</t>
        </is>
      </c>
      <c r="B12" s="121" t="inlineStr">
        <is>
          <t>Employer's full cost per hour (average)</t>
        </is>
      </c>
      <c r="C12" s="122" t="inlineStr">
        <is>
          <t>PLN/h</t>
        </is>
      </c>
      <c r="D12" s="126" t="n"/>
      <c r="G12" s="107" t="inlineStr">
        <is>
          <t>Employer's cost, not net salary: gross plus contributions and overheads, divided by working hours.</t>
        </is>
      </c>
    </row>
    <row r="13" ht="24" customHeight="1" s="95">
      <c r="A13" s="120" t="inlineStr">
        <is>
          <t>SW-07</t>
        </is>
      </c>
      <c r="B13" s="121" t="inlineStr">
        <is>
          <t>Is the company losing sales during this time?</t>
        </is>
      </c>
      <c r="C13" s="122" t="inlineStr">
        <is>
          <t>—</t>
        </is>
      </c>
      <c r="D13" s="127" t="n"/>
      <c r="G13" s="107" t="inlineStr">
        <is>
          <t>Select NO if customers buy later or the organization has no revenue.</t>
        </is>
      </c>
    </row>
    <row r="14" ht="24" customHeight="1" s="95">
      <c r="A14" s="120" t="inlineStr">
        <is>
          <t>SW-08</t>
        </is>
      </c>
      <c r="B14" s="121" t="inlineStr">
        <is>
          <t>Company revenue per working hour</t>
        </is>
      </c>
      <c r="C14" s="122" t="inlineStr">
        <is>
          <t>PLN/h</t>
        </is>
      </c>
      <c r="D14" s="126" t="n"/>
      <c r="G14" s="107" t="inlineStr">
        <is>
          <t>Annual revenue divided by operating hours per year.</t>
        </is>
      </c>
    </row>
    <row r="15" ht="24" customHeight="1" s="95">
      <c r="A15" s="120" t="inlineStr">
        <is>
          <t>SW-09</t>
        </is>
      </c>
      <c r="B15" s="121" t="inlineStr">
        <is>
          <t>Contribution Margin</t>
        </is>
      </c>
      <c r="C15" s="122" t="inlineStr">
        <is>
          <t>%</t>
        </is>
      </c>
      <c r="D15" s="125" t="n"/>
      <c r="G15" s="107" t="inlineStr">
        <is>
          <t>Revenue minus variable costs, divided by revenue. This is not the gross margin from the report.</t>
        </is>
      </c>
    </row>
    <row r="16" ht="24" customHeight="1" s="95">
      <c r="A16" s="120" t="inlineStr">
        <is>
          <t>SW-10</t>
        </is>
      </c>
      <c r="B16" s="121" t="inlineStr">
        <is>
          <t>Share of permanently irrecoverable sales</t>
        </is>
      </c>
      <c r="C16" s="122" t="inlineStr">
        <is>
          <t>%</t>
        </is>
      </c>
      <c r="D16" s="125" t="n"/>
      <c r="G16" s="107" t="inlineStr">
        <is>
          <t>How much of your lost sales will NOT come back. The rest is deferred sales - not a loss of margin.</t>
        </is>
      </c>
    </row>
    <row r="17" ht="24" customHeight="1" s="95">
      <c r="A17" s="120" t="inlineStr">
        <is>
          <t>SW-11</t>
        </is>
      </c>
      <c r="B17" s="121" t="inlineStr">
        <is>
          <t>Additional event cash costs</t>
        </is>
      </c>
      <c r="C17" s="122" t="inlineStr">
        <is>
          <t>PLN</t>
        </is>
      </c>
      <c r="D17" s="126" t="n"/>
      <c r="G17" s="107" t="inlineStr">
        <is>
          <t>External service, overtime, replacement equipment, express transport, penalties already charged.</t>
        </is>
      </c>
    </row>
    <row r="18"/>
    <row r="19" ht="19.5" customHeight="1" s="95">
      <c r="A19" s="99" t="inlineStr">
        <is>
          <t xml:space="preserve">  2. RESULT</t>
        </is>
      </c>
      <c r="B19" s="100" t="n"/>
      <c r="C19" s="100" t="n"/>
      <c r="D19" s="100" t="n"/>
      <c r="E19" s="100" t="n"/>
      <c r="F19" s="100" t="n"/>
      <c r="G19" s="100" t="n"/>
    </row>
    <row r="20" ht="24" customHeight="1" s="95">
      <c r="A20" s="119" t="n"/>
      <c r="B20" s="119" t="inlineStr">
        <is>
          <t>Measure</t>
        </is>
      </c>
      <c r="C20" s="119" t="inlineStr">
        <is>
          <t>Unit</t>
        </is>
      </c>
      <c r="D20" s="119" t="inlineStr">
        <is>
          <t>Low</t>
        </is>
      </c>
      <c r="E20" s="119" t="inlineStr">
        <is>
          <t>Base</t>
        </is>
      </c>
      <c r="F20" s="119" t="inlineStr">
        <is>
          <t>High</t>
        </is>
      </c>
      <c r="G20" s="119" t="inlineStr">
        <is>
          <t>What does it mean</t>
        </is>
      </c>
    </row>
    <row r="21" ht="27.75" customHeight="1" s="95">
      <c r="B21" s="121" t="inlineStr">
        <is>
          <t>Effective downtime hours</t>
        </is>
      </c>
      <c r="C21" s="122" t="inlineStr">
        <is>
          <t>h</t>
        </is>
      </c>
      <c r="D21" s="128">
        <f>IFERROR(ROUND($D$8*$D$11,2),0)</f>
        <v/>
      </c>
      <c r="E21" s="128">
        <f>IFERROR(ROUND($D$9*$D$11,2),0)</f>
        <v/>
      </c>
      <c r="F21" s="128">
        <f>IFERROR(ROUND($D$10*$D$11,2),0)</f>
        <v/>
      </c>
      <c r="G21" s="107" t="inlineStr">
        <is>
          <t>Downtime multiplied by lost productivity. This is not the same as the duration of the failure.</t>
        </is>
      </c>
    </row>
    <row r="22" ht="27.75" customHeight="1" s="95">
      <c r="B22" s="121" t="inlineStr">
        <is>
          <t>Lost contribution margin</t>
        </is>
      </c>
      <c r="C22" s="122" t="inlineStr">
        <is>
          <t>PLN</t>
        </is>
      </c>
      <c r="D22" s="129">
        <f>IF($D$13&lt;&gt;"TAK",0,IFERROR(ROUND($D$14*$D$15*$D$16*$D$21,2),0))</f>
        <v/>
      </c>
      <c r="E22" s="129">
        <f>IF($D$13&lt;&gt;"TAK",0,IFERROR(ROUND($D$14*$D$15*$D$16*$E$21,2),0))</f>
        <v/>
      </c>
      <c r="F22" s="129">
        <f>IF($D$13&lt;&gt;"TAK",0,IFERROR(ROUND($D$14*$D$15*$D$16*$F$21,2),0))</f>
        <v/>
      </c>
      <c r="G22" s="107" t="inlineStr">
        <is>
          <t>A margin that won't come back. We do not count the entire income - that would be a mistake.</t>
        </is>
      </c>
    </row>
    <row r="23" ht="27.75" customHeight="1" s="95">
      <c r="B23" s="121" t="inlineStr">
        <is>
          <t>Additional cash costs</t>
        </is>
      </c>
      <c r="C23" s="122" t="inlineStr">
        <is>
          <t>PLN</t>
        </is>
      </c>
      <c r="D23" s="129">
        <f>IFERROR(ROUND($D$17,2),0)</f>
        <v/>
      </c>
      <c r="E23" s="129">
        <f>IFERROR(ROUND($D$17,2),0)</f>
        <v/>
      </c>
      <c r="F23" s="129">
        <f>IFERROR(ROUND($D$17,2),0)</f>
        <v/>
      </c>
      <c r="G23" s="107" t="inlineStr">
        <is>
          <t>Money that will actually flow out of the company due to the event.</t>
        </is>
      </c>
    </row>
    <row r="24" ht="27.75" customHeight="1" s="95">
      <c r="B24" s="130" t="inlineStr">
        <is>
          <t>IMPACT ON FINANCIAL RESULT (P&amp;L)</t>
        </is>
      </c>
      <c r="C24" s="122" t="inlineStr">
        <is>
          <t>PLN</t>
        </is>
      </c>
      <c r="D24" s="131">
        <f>ROUND($D$22+$D$23,2)</f>
        <v/>
      </c>
      <c r="E24" s="131">
        <f>ROUND($E$22+$E$23,2)</f>
        <v/>
      </c>
      <c r="F24" s="131">
        <f>ROUND($F$22+$F$23,2)</f>
        <v/>
      </c>
      <c r="G24" s="107" t="inlineStr">
        <is>
          <t>Header number: lost margin plus additional costs. No employee salaries - they are not an additional cost.</t>
        </is>
      </c>
    </row>
    <row r="25" ht="27.75" customHeight="1" s="95">
      <c r="B25" s="121" t="inlineStr">
        <is>
          <t>Lost operational capability</t>
        </is>
      </c>
      <c r="C25" s="122" t="inlineStr">
        <is>
          <t>PLN</t>
        </is>
      </c>
      <c r="D25" s="129">
        <f>IFERROR(ROUND($D$7*$D$12*$D$21,2),0)</f>
        <v/>
      </c>
      <c r="E25" s="129">
        <f>IFERROR(ROUND($D$7*$D$12*$E$21,2),0)</f>
        <v/>
      </c>
      <c r="F25" s="129">
        <f>IFERROR(ROUND($D$7*$D$12*$F$21,2),0)</f>
        <v/>
      </c>
      <c r="G25" s="107" t="inlineStr">
        <is>
          <t>Value of people's paid but unused time. Operational KPI – DO NOT add to P&amp;L.</t>
        </is>
      </c>
    </row>
    <row r="26"/>
    <row r="27" ht="19.5" customHeight="1" s="95">
      <c r="A27" s="99" t="inlineStr">
        <is>
          <t xml:space="preserve">  3. WHAT THIS RESULT DOESN'T INCLUDE YET</t>
        </is>
      </c>
      <c r="B27" s="100" t="n"/>
      <c r="C27" s="100" t="n"/>
      <c r="D27" s="100" t="n"/>
      <c r="E27" s="100" t="n"/>
      <c r="F27" s="100" t="n"/>
      <c r="G27" s="100" t="n"/>
    </row>
    <row r="28" ht="30" customHeight="1" s="95">
      <c r="B28" s="132" t="inlineStr">
        <is>
          <t>• Phased event flow - partial degradation, workarounds, stabilization and backlog recovery.</t>
        </is>
      </c>
    </row>
    <row r="29" ht="30" customHeight="1" s="95">
      <c r="B29" s="132" t="inlineStr">
        <is>
          <t>• Data loss and re-entry (RPO, records, reconciliations).</t>
        </is>
      </c>
    </row>
    <row r="30" ht="30" customHeight="1" s="95">
      <c r="B30" s="132" t="inlineStr">
        <is>
          <t>• Technical replacement cost: external service, replacement equipment, post-reconstruction testing.</t>
        </is>
      </c>
    </row>
    <row r="31" ht="16.5" customHeight="1" s="95">
      <c r="B31" s="132" t="inlineStr">
        <is>
          <t>• Contractual penalties, SLA, compensation and chargebacks.</t>
        </is>
      </c>
    </row>
    <row r="32" ht="30" customHeight="1" s="95">
      <c r="B32" s="132" t="inlineStr">
        <is>
          <t>• The impact of a cyber incident and data breach and the cost of handling regulatory obligations.</t>
        </is>
      </c>
    </row>
    <row r="33" ht="16.5" customHeight="1" s="95">
      <c r="B33" s="132" t="inlineStr">
        <is>
          <t>• Cost of financing deferred proceeds.</t>
        </is>
      </c>
    </row>
    <row r="34" ht="30" customHeight="1" s="95">
      <c r="B34" s="132" t="inlineStr">
        <is>
          <t>• Annual risk exposure and assessment of the profitability of hedging activities.</t>
        </is>
      </c>
    </row>
    <row r="35" ht="30" customHeight="1" s="95">
      <c r="B35" s="132" t="inlineStr">
        <is>
          <t>• Contingent exposures: disputes, claims, customer departure, lost contracts.</t>
        </is>
      </c>
    </row>
    <row r="36"/>
    <row r="37" ht="16.5" customHeight="1" s="95">
      <c r="B37" s="133" t="inlineStr">
        <is>
          <t>All these items are available in advanced mode. Start with the COMPANY PROFILE tab.</t>
        </is>
      </c>
    </row>
    <row r="38"/>
    <row r="39" ht="27.75" customHeight="1" s="95">
      <c r="B39" s="107" t="inlineStr">
        <is>
          <t>Switching to advanced mode: enter the number of people from SW-01 in the PROCESSES tab (column "Number of people in the process"), and the cost of an hour from SW-06 in the COMPANY PROFILE tab (field PF-12). Copying is done manually on purpose - so that you can always see where the number came from.</t>
        </is>
      </c>
    </row>
    <row r="40"/>
    <row r="41" ht="52.5" customHeight="1" s="95">
      <c r="B41" s="107" t="inlineStr">
        <is>
          <t>The result is an estimation based solely on the data and assumptions entered by the user. It does not constitute an offer, valuation, audit or accounting, legal or insurance advice. The actual impact depends on processes, contracts, taxes, insurance, ability to catch up and the course of the event. Confirm investment decisions with finance, operations, IT and, if necessary, your lawyer or insurer.</t>
        </is>
      </c>
    </row>
  </sheetData>
  <mergeCells count="5">
    <mergeCell ref="B39:F39"/>
    <mergeCell ref="A3:G3"/>
    <mergeCell ref="B37:F37"/>
    <mergeCell ref="A2:G2"/>
    <mergeCell ref="B41:F41"/>
  </mergeCells>
  <dataValidations count="3">
    <dataValidation sqref="D13" showDropDown="0" showInputMessage="0" showErrorMessage="0" allowBlank="1" errorTitle="Wartość spoza listy" error="Wybierz wartość z listy." type="list" errorStyle="stop" operator="between">
      <formula1>'LISTY POMOCNICZE'!$I$8:$I$9</formula1>
      <formula2>0</formula2>
    </dataValidation>
    <dataValidation sqref="D7:D10 D12 D14 D17" showDropDown="0" showInputMessage="0" showErrorMessage="0" allowBlank="1" errorTitle="Wartość nieprawidłowa" error="Podaj liczbę nie mniejszą niż 0." type="decimal" errorStyle="stop" operator="greaterThanOrEqual">
      <formula1>0</formula1>
      <formula2>0</formula2>
    </dataValidation>
    <dataValidation sqref="D11 D15:D16" showDropDown="0" showInputMessage="0" showErrorMessage="0" allowBlank="1" errorTitle="Procent poza zakresem" error="Podaj wartość od 0% do 100%." type="decimal" errorStyle="stop" operator="between">
      <formula1>0</formula1>
      <formula2>1</formula2>
    </dataValidation>
  </dataValidation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0164FF"/>
    <outlinePr summaryBelow="1" summaryRight="1"/>
    <pageSetUpPr fitToPage="1"/>
  </sheetPr>
  <dimension ref="A1:G31"/>
  <sheetViews>
    <sheetView showFormulas="0" showGridLines="0" showRowColHeaders="1" showZeros="1" rightToLeft="0" tabSelected="0"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baseColWidth="8" defaultColWidth="8.6796875" defaultRowHeight="15" customHeight="0" zeroHeight="0" outlineLevelRow="0"/>
  <cols>
    <col width="8" customWidth="1" style="94" min="1" max="1"/>
    <col width="42" customWidth="1" style="94" min="2" max="2"/>
    <col width="8" customWidth="1" style="94" min="3" max="3"/>
    <col width="18" customWidth="1" style="94" min="4" max="4"/>
    <col width="20" customWidth="1" style="94" min="5" max="5"/>
    <col width="26" customWidth="1" style="94" min="6" max="6"/>
    <col width="64" customWidth="1" style="94" min="7" max="7"/>
  </cols>
  <sheetData>
    <row r="1" ht="15" customHeight="1" s="95">
      <c r="A1" s="116" t="inlineStr">
        <is>
          <t>NexaIT</t>
        </is>
      </c>
    </row>
    <row r="2" ht="24" customHeight="1" s="95">
      <c r="A2" s="117" t="inlineStr">
        <is>
          <t>Company profile</t>
        </is>
      </c>
    </row>
    <row r="3" ht="16.5" customHeight="1" s="95">
      <c r="A3" s="118" t="inlineStr">
        <is>
          <t>The foundation of the entire model. Without the PF-12 field (employer's full cost per hour), no result in the advanced mode will be reliable.</t>
        </is>
      </c>
    </row>
    <row r="4"/>
    <row r="5" ht="19.5" customHeight="1" s="95">
      <c r="A5" s="99" t="inlineStr">
        <is>
          <t xml:space="preserve">  ORGANIZATIONAL PARAMETERS</t>
        </is>
      </c>
      <c r="B5" s="100" t="n"/>
      <c r="C5" s="100" t="n"/>
      <c r="D5" s="100" t="n"/>
      <c r="E5" s="100" t="n"/>
      <c r="F5" s="100" t="n"/>
      <c r="G5" s="100" t="n"/>
    </row>
    <row r="6" ht="42" customHeight="1" s="95">
      <c r="A6" s="119" t="inlineStr">
        <is>
          <t>ID</t>
        </is>
      </c>
      <c r="B6" s="119" t="inlineStr">
        <is>
          <t>Field</t>
        </is>
      </c>
      <c r="C6" s="119" t="inlineStr">
        <is>
          <t>Unit</t>
        </is>
      </c>
      <c r="D6" s="119" t="inlineStr">
        <is>
          <t>Value</t>
        </is>
      </c>
      <c r="E6" s="119" t="inlineStr">
        <is>
          <t>Value class</t>
        </is>
      </c>
      <c r="F6" s="119" t="inlineStr">
        <is>
          <t>Data source/owner</t>
        </is>
      </c>
      <c r="G6" s="119" t="inlineStr">
        <is>
          <t>How to fill it out</t>
        </is>
      </c>
    </row>
    <row r="7" ht="21.75" customHeight="1" s="95">
      <c r="A7" s="120" t="inlineStr">
        <is>
          <t>PF-01</t>
        </is>
      </c>
      <c r="B7" s="121" t="inlineStr">
        <is>
          <t>Organization name (optional)</t>
        </is>
      </c>
      <c r="C7" s="122" t="inlineStr">
        <is>
          <t>—</t>
        </is>
      </c>
      <c r="D7" s="127" t="n"/>
      <c r="E7" s="120" t="inlineStr">
        <is>
          <t>USER DETAILS</t>
        </is>
      </c>
      <c r="F7" s="127" t="n"/>
      <c r="G7" s="107" t="inlineStr">
        <is>
          <t>Optional field. The tool works without any identifying data.</t>
        </is>
      </c>
    </row>
    <row r="8" ht="21.75" customHeight="1" s="95">
      <c r="A8" s="120" t="inlineStr">
        <is>
          <t>PF-02</t>
        </is>
      </c>
      <c r="B8" s="121" t="inlineStr">
        <is>
          <t>Date of analysis</t>
        </is>
      </c>
      <c r="C8" s="122" t="inlineStr">
        <is>
          <t>—</t>
        </is>
      </c>
      <c r="D8" s="127" t="n"/>
      <c r="E8" s="120" t="inlineStr">
        <is>
          <t>USER DETAILS</t>
        </is>
      </c>
      <c r="F8" s="127" t="n"/>
      <c r="G8" s="107" t="inlineStr">
        <is>
          <t>Enter manually, e.g. 2026-07-31. We deliberately do not use an automatic date - the result is intended to be repeatable.</t>
        </is>
      </c>
    </row>
    <row r="9" ht="21.75" customHeight="1" s="95">
      <c r="A9" s="120" t="inlineStr">
        <is>
          <t>PF-03</t>
        </is>
      </c>
      <c r="B9" s="121" t="inlineStr">
        <is>
          <t>Industry/business profile</t>
        </is>
      </c>
      <c r="C9" s="122" t="inlineStr">
        <is>
          <t>—</t>
        </is>
      </c>
      <c r="D9" s="127" t="n"/>
      <c r="E9" s="120" t="inlineStr">
        <is>
          <t>USER DETAILS</t>
        </is>
      </c>
      <c r="F9" s="127" t="n"/>
      <c r="G9" s="107" t="inlineStr">
        <is>
          <t>Tells you which cost modules are worth enabling.</t>
        </is>
      </c>
    </row>
    <row r="10" ht="21.75" customHeight="1" s="95">
      <c r="A10" s="120" t="inlineStr">
        <is>
          <t>PF-04</t>
        </is>
      </c>
      <c r="B10" s="121" t="inlineStr">
        <is>
          <t>Organization type</t>
        </is>
      </c>
      <c r="C10" s="122" t="inlineStr">
        <is>
          <t>—</t>
        </is>
      </c>
      <c r="D10" s="127" t="n"/>
      <c r="E10" s="120" t="inlineStr">
        <is>
          <t>USER DETAILS</t>
        </is>
      </c>
      <c r="F10" s="127" t="n"/>
      <c r="G10" s="107" t="inlineStr">
        <is>
          <t>"Non-commercial" disables the margin logic. We do not force fictitious income.</t>
        </is>
      </c>
    </row>
    <row r="11" ht="21.75" customHeight="1" s="95">
      <c r="A11" s="120" t="inlineStr">
        <is>
          <t>PF-05</t>
        </is>
      </c>
      <c r="B11" s="121" t="inlineStr">
        <is>
          <t>Number of locations</t>
        </is>
      </c>
      <c r="C11" s="122" t="inlineStr">
        <is>
          <t>pcs.</t>
        </is>
      </c>
      <c r="D11" s="123" t="n"/>
      <c r="E11" s="120" t="inlineStr">
        <is>
          <t>USER DETAILS</t>
        </is>
      </c>
      <c r="F11" s="127" t="n"/>
      <c r="G11" s="107" t="inlineStr">
        <is>
          <t>All locations with their own IT.</t>
        </is>
      </c>
    </row>
    <row r="12" ht="21.75" customHeight="1" s="95">
      <c r="A12" s="120" t="inlineStr">
        <is>
          <t>PF-06</t>
        </is>
      </c>
      <c r="B12" s="121" t="inlineStr">
        <is>
          <t>Number of employees/users</t>
        </is>
      </c>
      <c r="C12" s="122" t="inlineStr">
        <is>
          <t>pers.</t>
        </is>
      </c>
      <c r="D12" s="123" t="n"/>
      <c r="E12" s="120" t="inlineStr">
        <is>
          <t>USER DETAILS</t>
        </is>
      </c>
      <c r="F12" s="127" t="n"/>
      <c r="G12" s="107" t="inlineStr">
        <is>
          <t>All people using the systems.</t>
        </is>
      </c>
    </row>
    <row r="13" ht="21.75" customHeight="1" s="95">
      <c r="A13" s="120" t="inlineStr">
        <is>
          <t>PF-07</t>
        </is>
      </c>
      <c r="B13" s="121" t="inlineStr">
        <is>
          <t>Operating days per week</t>
        </is>
      </c>
      <c r="C13" s="122" t="inlineStr">
        <is>
          <t>days</t>
        </is>
      </c>
      <c r="D13" s="124" t="n"/>
      <c r="E13" s="120" t="inlineStr">
        <is>
          <t>USER DETAILS</t>
        </is>
      </c>
      <c r="F13" s="127" t="n"/>
      <c r="G13" s="107" t="inlineStr">
        <is>
          <t>E.g. 5 for office, 7 for continuous production.</t>
        </is>
      </c>
    </row>
    <row r="14" ht="21.75" customHeight="1" s="95">
      <c r="A14" s="120" t="inlineStr">
        <is>
          <t>PF-08</t>
        </is>
      </c>
      <c r="B14" s="121" t="inlineStr">
        <is>
          <t>Daily operating hours</t>
        </is>
      </c>
      <c r="C14" s="122" t="inlineStr">
        <is>
          <t>h</t>
        </is>
      </c>
      <c r="D14" s="124" t="n"/>
      <c r="E14" s="120" t="inlineStr">
        <is>
          <t>USER DETAILS</t>
        </is>
      </c>
      <c r="F14" s="127" t="n"/>
      <c r="G14" s="107" t="inlineStr">
        <is>
          <t>Including all changes.</t>
        </is>
      </c>
    </row>
    <row r="15" ht="21.75" customHeight="1" s="95">
      <c r="A15" s="120" t="inlineStr">
        <is>
          <t>PF-09</t>
        </is>
      </c>
      <c r="B15" s="121" t="inlineStr">
        <is>
          <t>Number of changes</t>
        </is>
      </c>
      <c r="C15" s="122" t="inlineStr">
        <is>
          <t>pcs.</t>
        </is>
      </c>
      <c r="D15" s="124" t="n"/>
      <c r="E15" s="120" t="inlineStr">
        <is>
          <t>USER DETAILS</t>
        </is>
      </c>
      <c r="F15" s="127" t="n"/>
      <c r="G15" s="107" t="inlineStr">
        <is>
          <t>Informational - Helps assess the scope of an event in the coverage matrix.</t>
        </is>
      </c>
    </row>
    <row r="16" ht="21.75" customHeight="1" s="95">
      <c r="A16" s="120" t="inlineStr">
        <is>
          <t>PF-10</t>
        </is>
      </c>
      <c r="B16" s="121" t="inlineStr">
        <is>
          <t>Operating days per year</t>
        </is>
      </c>
      <c r="C16" s="122" t="inlineStr">
        <is>
          <t>days</t>
        </is>
      </c>
      <c r="D16" s="124" t="n"/>
      <c r="E16" s="120" t="inlineStr">
        <is>
          <t>USER DETAILS</t>
        </is>
      </c>
      <c r="F16" s="127" t="n"/>
      <c r="G16" s="107" t="inlineStr">
        <is>
          <t>Enter your own number. For a company working Mon-Fri it is usually around 250.</t>
        </is>
      </c>
    </row>
    <row r="17" ht="21.75" customHeight="1" s="95">
      <c r="A17" s="120" t="inlineStr">
        <is>
          <t>PF-11</t>
        </is>
      </c>
      <c r="B17" s="121" t="inlineStr">
        <is>
          <t>Operating hours per year</t>
        </is>
      </c>
      <c r="C17" s="122" t="inlineStr">
        <is>
          <t>h</t>
        </is>
      </c>
      <c r="D17" s="128">
        <f>IF(OR($D$16="",$D$14=""),"",ROUND($D$16*$D$14,1))</f>
        <v/>
      </c>
      <c r="E17" s="120" t="inlineStr">
        <is>
          <t>WYNIK</t>
        </is>
      </c>
      <c r="F17" s="127" t="n"/>
      <c r="G17" s="107" t="inlineStr">
        <is>
          <t>PF-10 × PF-08.</t>
        </is>
      </c>
    </row>
    <row r="18" ht="21.75" customHeight="1" s="95">
      <c r="A18" s="120" t="inlineStr">
        <is>
          <t>PF-12</t>
        </is>
      </c>
      <c r="B18" s="130" t="inlineStr">
        <is>
          <t>Employer's full cost per hour (average)</t>
        </is>
      </c>
      <c r="C18" s="122" t="inlineStr">
        <is>
          <t>PLN/h</t>
        </is>
      </c>
      <c r="D18" s="134" t="n"/>
      <c r="E18" s="120" t="inlineStr">
        <is>
          <t>USER DETAILS</t>
        </is>
      </c>
      <c r="F18" s="127" t="n"/>
      <c r="G18" s="107" t="inlineStr">
        <is>
          <t>THE MOST IMPORTANT FEATURE OF THE WHOLE MODEL. Employer's cost, not net salary. You can use the PF-14…PF-17 helper.</t>
        </is>
      </c>
    </row>
    <row r="19" ht="21.75" customHeight="1" s="95">
      <c r="A19" s="120" t="inlineStr">
        <is>
          <t>PF-13</t>
        </is>
      </c>
      <c r="B19" s="121" t="inlineStr">
        <is>
          <t>Where does the PF-12 value come from</t>
        </is>
      </c>
      <c r="C19" s="122" t="inlineStr">
        <is>
          <t>—</t>
        </is>
      </c>
      <c r="D19" s="127" t="n"/>
      <c r="E19" s="120" t="inlineStr">
        <is>
          <t>USER DETAILS</t>
        </is>
      </c>
      <c r="F19" s="127" t="n"/>
      <c r="G19" s="107" t="inlineStr">
        <is>
          <t>E.g. "payroll 06/2026", "management estimate", "GUS benchmark". Include the source - it's part of the evidence.</t>
        </is>
      </c>
    </row>
    <row r="20" ht="21.75" customHeight="1" s="95">
      <c r="A20" s="120" t="inlineStr">
        <is>
          <t>PF-14</t>
        </is>
      </c>
      <c r="B20" s="121" t="inlineStr">
        <is>
          <t>Helper: average gross salary / month.</t>
        </is>
      </c>
      <c r="C20" s="122" t="inlineStr">
        <is>
          <t>PLN</t>
        </is>
      </c>
      <c r="D20" s="126" t="n"/>
      <c r="E20" s="120" t="inlineStr">
        <is>
          <t>USER DETAILS</t>
        </is>
      </c>
      <c r="F20" s="127" t="n"/>
      <c r="G20" s="107" t="n"/>
    </row>
    <row r="21" ht="21.75" customHeight="1" s="95">
      <c r="A21" s="120" t="inlineStr">
        <is>
          <t>PF-15</t>
        </is>
      </c>
      <c r="B21" s="121" t="inlineStr">
        <is>
          <t>Helper: Employer's overhead</t>
        </is>
      </c>
      <c r="C21" s="122" t="inlineStr">
        <is>
          <t>%</t>
        </is>
      </c>
      <c r="D21" s="135" t="n"/>
      <c r="E21" s="120" t="inlineStr">
        <is>
          <t>USER DETAILS</t>
        </is>
      </c>
      <c r="F21" s="127" t="n"/>
      <c r="G21" s="107" t="inlineStr">
        <is>
          <t>Employer's contributions and other charges. The field is empty - enter your own value.</t>
        </is>
      </c>
    </row>
    <row r="22" ht="21.75" customHeight="1" s="95">
      <c r="A22" s="120" t="inlineStr">
        <is>
          <t>PF-16</t>
        </is>
      </c>
      <c r="B22" s="121" t="inlineStr">
        <is>
          <t>Helper: working hours per month</t>
        </is>
      </c>
      <c r="C22" s="122" t="inlineStr">
        <is>
          <t>h</t>
        </is>
      </c>
      <c r="D22" s="124" t="n"/>
      <c r="E22" s="120" t="inlineStr">
        <is>
          <t>USER DETAILS</t>
        </is>
      </c>
      <c r="F22" s="127" t="n"/>
      <c r="G22" s="107" t="inlineStr">
        <is>
          <t>E.g. 160. If you want effective cost, use actually productive hours.</t>
        </is>
      </c>
    </row>
    <row r="23" ht="21.75" customHeight="1" s="95">
      <c r="A23" s="120" t="inlineStr">
        <is>
          <t>PF-17</t>
        </is>
      </c>
      <c r="B23" s="121" t="inlineStr">
        <is>
          <t>Helper: Calculated hourly cost</t>
        </is>
      </c>
      <c r="C23" s="122" t="inlineStr">
        <is>
          <t>PLN/h</t>
        </is>
      </c>
      <c r="D23" s="129">
        <f>IF(OR($D$20="",$D$22="",$D$22=0),"",ROUND($D$20*(1+$D$21)/$D$22,2))</f>
        <v/>
      </c>
      <c r="E23" s="120" t="inlineStr">
        <is>
          <t>WYNIK</t>
        </is>
      </c>
      <c r="F23" s="127" t="n"/>
      <c r="G23" s="107" t="inlineStr">
        <is>
          <t>PF-14 × (1 + PF-15) ÷ PF-16. If the result matches, transcribe it to PF-12.</t>
        </is>
      </c>
    </row>
    <row r="24" ht="21.75" customHeight="1" s="95">
      <c r="A24" s="120" t="inlineStr">
        <is>
          <t>PF-18</t>
        </is>
      </c>
      <c r="B24" s="121" t="inlineStr">
        <is>
          <t>Cost basis</t>
        </is>
      </c>
      <c r="C24" s="122" t="inlineStr">
        <is>
          <t>—</t>
        </is>
      </c>
      <c r="D24" s="127" t="n"/>
      <c r="E24" s="120" t="inlineStr">
        <is>
          <t>USER DETAILS</t>
        </is>
      </c>
      <c r="F24" s="127" t="n"/>
      <c r="G24" s="107" t="inlineStr">
        <is>
          <t>Net when VAT is deductible. Gross when it isn't. Keep one base throughout the entire file.</t>
        </is>
      </c>
    </row>
    <row r="25" ht="21.75" customHeight="1" s="95">
      <c r="A25" s="120" t="inlineStr">
        <is>
          <t>PF-19</t>
        </is>
      </c>
      <c r="B25" s="121" t="inlineStr">
        <is>
          <t>Annual financing rate</t>
        </is>
      </c>
      <c r="C25" s="122" t="inlineStr">
        <is>
          <t>%</t>
        </is>
      </c>
      <c r="D25" s="135" t="n"/>
      <c r="E25" s="120" t="inlineStr">
        <is>
          <t>ASSUMPTION</t>
        </is>
      </c>
      <c r="F25" s="127" t="n"/>
      <c r="G25" s="107" t="inlineStr">
        <is>
          <t>To the cost of deferred proceeds. Your real cost of a working capital loan - usually clearly above the NBP reference rate (3.75% in July 2026).</t>
        </is>
      </c>
    </row>
    <row r="26" ht="21.75" customHeight="1" s="95">
      <c r="A26" s="120" t="inlineStr">
        <is>
          <t>PF-20</t>
        </is>
      </c>
      <c r="B26" s="121" t="inlineStr">
        <is>
          <t>Currency</t>
        </is>
      </c>
      <c r="C26" s="122" t="inlineStr">
        <is>
          <t>—</t>
        </is>
      </c>
      <c r="D26" s="136" t="inlineStr">
        <is>
          <t>PLN</t>
        </is>
      </c>
      <c r="E26" s="120" t="inlineStr">
        <is>
          <t>WYNIK</t>
        </is>
      </c>
      <c r="F26" s="127" t="n"/>
      <c r="G26" s="107" t="inlineStr">
        <is>
          <t>Version 1.0 only works in PLN.</t>
        </is>
      </c>
    </row>
    <row r="27"/>
    <row r="28" ht="19.5" customHeight="1" s="95">
      <c r="A28" s="99" t="inlineStr">
        <is>
          <t xml:space="preserve">  COST BASE – WHY IT MATTERS</t>
        </is>
      </c>
      <c r="B28" s="100" t="n"/>
      <c r="C28" s="100" t="n"/>
      <c r="D28" s="100" t="n"/>
      <c r="E28" s="100" t="n"/>
      <c r="F28" s="100" t="n"/>
      <c r="G28" s="100" t="n"/>
    </row>
    <row r="29" ht="30" customHeight="1" s="95">
      <c r="B29" s="137" t="inlineStr">
        <is>
          <t>For costs, use the economically incurred value: net if VAT is deductible, gross if it is not. Mixing the bases in one file spoils the comparability of the result and is the most common reason why accounting rejects such a calculation.</t>
        </is>
      </c>
    </row>
    <row r="30"/>
    <row r="31" ht="16.5" customHeight="1" s="95">
      <c r="B31" s="138" t="inlineStr">
        <is>
          <t>We do not enter any default values. A blank field is missing data, not zero - the QA tab will count how much data is missing.</t>
        </is>
      </c>
    </row>
  </sheetData>
  <mergeCells count="4">
    <mergeCell ref="A2:G2"/>
    <mergeCell ref="A3:G3"/>
    <mergeCell ref="B31:F31"/>
    <mergeCell ref="B29:F29"/>
  </mergeCells>
  <dataValidations count="5">
    <dataValidation sqref="D9" showDropDown="0" showInputMessage="0" showErrorMessage="0" allowBlank="1" errorTitle="Wartość spoza listy" error="Wybierz wartość z listy." type="list" errorStyle="stop" operator="between">
      <formula1>'LISTY POMOCNICZE'!$C$8:$C$14</formula1>
      <formula2>0</formula2>
    </dataValidation>
    <dataValidation sqref="D10" showDropDown="0" showInputMessage="0" showErrorMessage="0" allowBlank="1" errorTitle="Wartość spoza listy" error="Wybierz wartość z listy." type="list" errorStyle="stop" operator="between">
      <formula1>'LISTY POMOCNICZE'!$A$8:$A$9</formula1>
      <formula2>0</formula2>
    </dataValidation>
    <dataValidation sqref="D24" showDropDown="0" showInputMessage="0" showErrorMessage="0" allowBlank="1" errorTitle="Wartość spoza listy" error="Wybierz wartość z listy." type="list" errorStyle="stop" operator="between">
      <formula1>'LISTY POMOCNICZE'!$B$8:$B$9</formula1>
      <formula2>0</formula2>
    </dataValidation>
    <dataValidation sqref="D11:D16 D18 D20 D22" showDropDown="0" showInputMessage="0" showErrorMessage="0" allowBlank="1" errorTitle="Wartość nieprawidłowa" error="Podaj liczbę nie mniejszą niż 0." type="decimal" errorStyle="stop" operator="greaterThanOrEqual">
      <formula1>0</formula1>
      <formula2>0</formula2>
    </dataValidation>
    <dataValidation sqref="D21 D25" showDropDown="0" showInputMessage="0" showErrorMessage="0" allowBlank="1" errorTitle="Procent poza zakresem" error="Podaj wartość od 0% do 300%." type="decimal" errorStyle="stop" operator="between">
      <formula1>0</formula1>
      <formula2>3</formula2>
    </dataValidation>
  </dataValidations>
  <printOptions horizontalCentered="0" verticalCentered="0" headings="0" gridLines="0" gridLinesSet="1"/>
  <pageMargins left="0.4" right="0.4" top="0.4" bottom="0.4"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4.xml><?xml version="1.0" encoding="utf-8"?>
<worksheet xmlns="http://schemas.openxmlformats.org/spreadsheetml/2006/main">
  <sheetPr filterMode="0">
    <tabColor rgb="FF0164FF"/>
    <outlinePr summaryBelow="1" summaryRight="1"/>
    <pageSetUpPr fitToPage="0"/>
  </sheetPr>
  <dimension ref="A1:AC24"/>
  <sheetViews>
    <sheetView showFormulas="0" showGridLines="0" showRowColHeaders="1" showZeros="1" rightToLeft="0" tabSelected="0" showOutlineSymbols="1" defaultGridColor="1"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baseColWidth="8" defaultColWidth="8.6796875" defaultRowHeight="15" customHeight="0" zeroHeight="0" outlineLevelRow="0"/>
  <cols>
    <col width="7" customWidth="1" style="94" min="1" max="1"/>
    <col width="30" customWidth="1" style="94" min="2" max="2"/>
    <col width="16" customWidth="1" style="94" min="3" max="3"/>
    <col width="18" customWidth="1" style="94" min="4" max="4"/>
    <col width="10" customWidth="1" style="94" min="5" max="5"/>
    <col width="11" customWidth="1" style="94" min="6" max="6"/>
    <col width="15" customWidth="1" style="94" min="7" max="7"/>
    <col width="13" customWidth="1" style="94" min="8" max="8"/>
    <col width="11" customWidth="1" style="94" min="9" max="9"/>
    <col width="13" customWidth="1" style="94" min="10" max="10"/>
    <col width="12" customWidth="1" style="94" min="11" max="12"/>
    <col width="14" customWidth="1" style="94" min="13" max="14"/>
    <col width="17" customWidth="1" style="94" min="15" max="15"/>
    <col width="13" customWidth="1" style="94" min="16" max="18"/>
    <col width="14" customWidth="1" style="94" min="19" max="20"/>
    <col width="10" customWidth="1" style="94" min="21" max="21"/>
    <col width="8" customWidth="1" style="94" min="22" max="23"/>
    <col width="26" customWidth="1" style="94" min="24" max="24"/>
    <col width="24" customWidth="1" style="94" min="25" max="25"/>
    <col width="26" customWidth="1" style="94" min="26" max="26"/>
    <col width="24" customWidth="1" style="94" min="27" max="27"/>
    <col width="18" customWidth="1" style="94" min="28" max="28"/>
    <col width="22" customWidth="1" style="94" min="29" max="29"/>
  </cols>
  <sheetData>
    <row r="1" ht="15" customHeight="1" s="95">
      <c r="A1" s="116" t="inlineStr">
        <is>
          <t>NexaIT</t>
        </is>
      </c>
    </row>
    <row r="2" ht="24" customHeight="1" s="95">
      <c r="A2" s="117" t="inlineStr">
        <is>
          <t>Business processes</t>
        </is>
      </c>
    </row>
    <row r="3" ht="30" customHeight="1" s="95">
      <c r="A3" s="118" t="inlineStr">
        <is>
          <t>One line equals one IT-dependent process. Select EXACTLY ONE valuation method - adding the two methods would calculate the same loss twice.</t>
        </is>
      </c>
    </row>
    <row r="4" ht="19.5" customHeight="1" s="95">
      <c r="A4" s="99" t="inlineStr">
        <is>
          <t xml:space="preserve">  PROCESS LOG (12 items)</t>
        </is>
      </c>
      <c r="B4" s="100" t="n"/>
      <c r="C4" s="100" t="n"/>
      <c r="D4" s="100" t="n"/>
      <c r="E4" s="100" t="n"/>
      <c r="F4" s="100" t="n"/>
      <c r="G4" s="100" t="n"/>
      <c r="H4" s="100" t="n"/>
      <c r="I4" s="100" t="n"/>
      <c r="J4" s="100" t="n"/>
      <c r="K4" s="100" t="n"/>
      <c r="L4" s="100" t="n"/>
      <c r="M4" s="100" t="n"/>
      <c r="N4" s="100" t="n"/>
      <c r="O4" s="100" t="n"/>
      <c r="P4" s="100" t="n"/>
      <c r="Q4" s="100" t="n"/>
      <c r="R4" s="100" t="n"/>
      <c r="S4" s="100" t="n"/>
      <c r="T4" s="100" t="n"/>
      <c r="U4" s="100" t="n"/>
      <c r="V4" s="100" t="n"/>
      <c r="W4" s="100" t="n"/>
      <c r="X4" s="100" t="n"/>
      <c r="Y4" s="100" t="n"/>
      <c r="Z4" s="100" t="n"/>
      <c r="AA4" s="100" t="n"/>
      <c r="AB4" s="100" t="n"/>
      <c r="AC4" s="100" t="n"/>
    </row>
    <row r="5" ht="42" customHeight="1" s="95">
      <c r="A5" s="119" t="inlineStr">
        <is>
          <t>ID</t>
        </is>
      </c>
      <c r="B5" s="119" t="inlineStr">
        <is>
          <t>Process name</t>
        </is>
      </c>
      <c r="C5" s="119" t="inlineStr">
        <is>
          <t>Owner</t>
        </is>
      </c>
      <c r="D5" s="119" t="inlineStr">
        <is>
          <t>Location/change</t>
        </is>
      </c>
      <c r="E5" s="119" t="inlineStr">
        <is>
          <t>Number of people in the process</t>
        </is>
      </c>
      <c r="F5" s="119" t="inlineStr">
        <is>
          <t>Operating hours per day</t>
        </is>
      </c>
      <c r="G5" s="119" t="inlineStr">
        <is>
          <t>Process valuation method</t>
        </is>
      </c>
      <c r="H5" s="119" t="inlineStr">
        <is>
          <t>Revenue per hour [PLN/h]</t>
        </is>
      </c>
      <c r="I5" s="119" t="inlineStr">
        <is>
          <t>Contribution margin [%]</t>
        </is>
      </c>
      <c r="J5" s="119" t="inlineStr">
        <is>
          <t>Units per hour [pcs/h]</t>
        </is>
      </c>
      <c r="K5" s="119" t="inlineStr">
        <is>
          <t>Margin per unit [PLN]</t>
        </is>
      </c>
      <c r="L5" s="119" t="inlineStr">
        <is>
          <t>Share of billable hours [%]</t>
        </is>
      </c>
      <c r="M5" s="119" t="inlineStr">
        <is>
          <t>Margin per billable hour [PLN/h]</t>
        </is>
      </c>
      <c r="N5" s="119" t="inlineStr">
        <is>
          <t>Manual impact on margin [PLN/h]</t>
        </is>
      </c>
      <c r="O5" s="119" t="inlineStr">
        <is>
          <t>MARGIN PER HOUR - RESULT [PLN/h]</t>
        </is>
      </c>
      <c r="P5" s="119" t="inlineStr">
        <is>
          <t>Unrecoverable share. — low [%]</t>
        </is>
      </c>
      <c r="Q5" s="119" t="inlineStr">
        <is>
          <t>Unrecoverable share. — base [%]</t>
        </is>
      </c>
      <c r="R5" s="119" t="inlineStr">
        <is>
          <t>Unrecoverable share. — high [%]</t>
        </is>
      </c>
      <c r="S5" s="119" t="inlineStr">
        <is>
          <t>Cost per hour in the process [PLN/h]</t>
        </is>
      </c>
      <c r="T5" s="119" t="inlineStr">
        <is>
          <t>Cost per hour - used [PLN/h]</t>
        </is>
      </c>
      <c r="U5" s="119" t="inlineStr">
        <is>
          <t>MTPD / MAO [h]</t>
        </is>
      </c>
      <c r="V5" s="119" t="inlineStr">
        <is>
          <t>RTO [h]</t>
        </is>
      </c>
      <c r="W5" s="119" t="inlineStr">
        <is>
          <t>RPO [h]</t>
        </is>
      </c>
      <c r="X5" s="119" t="inlineStr">
        <is>
          <t>MBCO - Minimum Acceptable Level</t>
        </is>
      </c>
      <c r="Y5" s="119" t="inlineStr">
        <is>
          <t>Critical systems</t>
        </is>
      </c>
      <c r="Z5" s="119" t="inlineStr">
        <is>
          <t>Workaround Description</t>
        </is>
      </c>
      <c r="AA5" s="119" t="inlineStr">
        <is>
          <t>Non-financial effects of the break</t>
        </is>
      </c>
      <c r="AB5" s="119" t="inlineStr">
        <is>
          <t>Value class</t>
        </is>
      </c>
      <c r="AC5" s="119" t="inlineStr">
        <is>
          <t>Data source/owner</t>
        </is>
      </c>
    </row>
    <row r="6" ht="21.75" customHeight="1" s="95">
      <c r="A6" s="139" t="inlineStr">
        <is>
          <t>P01</t>
        </is>
      </c>
      <c r="B6" s="127" t="n"/>
      <c r="C6" s="127" t="n"/>
      <c r="D6" s="127" t="n"/>
      <c r="E6" s="123" t="n"/>
      <c r="F6" s="124" t="n"/>
      <c r="G6" s="127" t="n"/>
      <c r="H6" s="126" t="n"/>
      <c r="I6" s="125" t="n"/>
      <c r="J6" s="124" t="n"/>
      <c r="K6" s="126" t="n"/>
      <c r="L6" s="125" t="n"/>
      <c r="M6" s="126" t="n"/>
      <c r="N6" s="126" t="n"/>
      <c r="O6" s="140">
        <f>IFERROR(IF($G6="Przychodowa",$H6*$I6,IF($G6="Jednostkowa",$J6*$K6,IF($G6="Billable",$L6*$M6,IF($G6="Ręczna",$N6,0)))),0)</f>
        <v/>
      </c>
      <c r="P6" s="125" t="n"/>
      <c r="Q6" s="125" t="n"/>
      <c r="R6" s="125" t="n"/>
      <c r="S6" s="126" t="n"/>
      <c r="T6" s="129">
        <f>IF($S6="",IF('COMPANY PROFILE'!$D$18="",0,'COMPANY PROFILE'!$D$18),$S6)</f>
        <v/>
      </c>
      <c r="U6" s="124" t="n"/>
      <c r="V6" s="124" t="n"/>
      <c r="W6" s="124" t="n"/>
      <c r="X6" s="127" t="n"/>
      <c r="Y6" s="127" t="n"/>
      <c r="Z6" s="127" t="n"/>
      <c r="AA6" s="127" t="n"/>
      <c r="AB6" s="127" t="n"/>
      <c r="AC6" s="127" t="n"/>
    </row>
    <row r="7" ht="21.75" customHeight="1" s="95">
      <c r="A7" s="139" t="inlineStr">
        <is>
          <t>P02</t>
        </is>
      </c>
      <c r="B7" s="127" t="n"/>
      <c r="C7" s="127" t="n"/>
      <c r="D7" s="127" t="n"/>
      <c r="E7" s="123" t="n"/>
      <c r="F7" s="124" t="n"/>
      <c r="G7" s="127" t="n"/>
      <c r="H7" s="126" t="n"/>
      <c r="I7" s="125" t="n"/>
      <c r="J7" s="124" t="n"/>
      <c r="K7" s="126" t="n"/>
      <c r="L7" s="125" t="n"/>
      <c r="M7" s="126" t="n"/>
      <c r="N7" s="126" t="n"/>
      <c r="O7" s="140">
        <f>IFERROR(IF($G7="Przychodowa",$H7*$I7,IF($G7="Jednostkowa",$J7*$K7,IF($G7="Billable",$L7*$M7,IF($G7="Ręczna",$N7,0)))),0)</f>
        <v/>
      </c>
      <c r="P7" s="125" t="n"/>
      <c r="Q7" s="125" t="n"/>
      <c r="R7" s="125" t="n"/>
      <c r="S7" s="126" t="n"/>
      <c r="T7" s="129">
        <f>IF($S7="",IF('COMPANY PROFILE'!$D$18="",0,'COMPANY PROFILE'!$D$18),$S7)</f>
        <v/>
      </c>
      <c r="U7" s="124" t="n"/>
      <c r="V7" s="124" t="n"/>
      <c r="W7" s="124" t="n"/>
      <c r="X7" s="127" t="n"/>
      <c r="Y7" s="127" t="n"/>
      <c r="Z7" s="127" t="n"/>
      <c r="AA7" s="127" t="n"/>
      <c r="AB7" s="127" t="n"/>
      <c r="AC7" s="127" t="n"/>
    </row>
    <row r="8" ht="21.75" customHeight="1" s="95">
      <c r="A8" s="139" t="inlineStr">
        <is>
          <t>P03</t>
        </is>
      </c>
      <c r="B8" s="127" t="n"/>
      <c r="C8" s="127" t="n"/>
      <c r="D8" s="127" t="n"/>
      <c r="E8" s="123" t="n"/>
      <c r="F8" s="124" t="n"/>
      <c r="G8" s="127" t="n"/>
      <c r="H8" s="126" t="n"/>
      <c r="I8" s="125" t="n"/>
      <c r="J8" s="124" t="n"/>
      <c r="K8" s="126" t="n"/>
      <c r="L8" s="125" t="n"/>
      <c r="M8" s="126" t="n"/>
      <c r="N8" s="126" t="n"/>
      <c r="O8" s="140">
        <f>IFERROR(IF($G8="Przychodowa",$H8*$I8,IF($G8="Jednostkowa",$J8*$K8,IF($G8="Billable",$L8*$M8,IF($G8="Ręczna",$N8,0)))),0)</f>
        <v/>
      </c>
      <c r="P8" s="125" t="n"/>
      <c r="Q8" s="125" t="n"/>
      <c r="R8" s="125" t="n"/>
      <c r="S8" s="126" t="n"/>
      <c r="T8" s="129">
        <f>IF($S8="",IF('COMPANY PROFILE'!$D$18="",0,'COMPANY PROFILE'!$D$18),$S8)</f>
        <v/>
      </c>
      <c r="U8" s="124" t="n"/>
      <c r="V8" s="124" t="n"/>
      <c r="W8" s="124" t="n"/>
      <c r="X8" s="127" t="n"/>
      <c r="Y8" s="127" t="n"/>
      <c r="Z8" s="127" t="n"/>
      <c r="AA8" s="127" t="n"/>
      <c r="AB8" s="127" t="n"/>
      <c r="AC8" s="127" t="n"/>
    </row>
    <row r="9" ht="21.75" customHeight="1" s="95">
      <c r="A9" s="139" t="inlineStr">
        <is>
          <t>P04</t>
        </is>
      </c>
      <c r="B9" s="127" t="n"/>
      <c r="C9" s="127" t="n"/>
      <c r="D9" s="127" t="n"/>
      <c r="E9" s="123" t="n"/>
      <c r="F9" s="124" t="n"/>
      <c r="G9" s="127" t="n"/>
      <c r="H9" s="126" t="n"/>
      <c r="I9" s="125" t="n"/>
      <c r="J9" s="124" t="n"/>
      <c r="K9" s="126" t="n"/>
      <c r="L9" s="125" t="n"/>
      <c r="M9" s="126" t="n"/>
      <c r="N9" s="126" t="n"/>
      <c r="O9" s="140">
        <f>IFERROR(IF($G9="Przychodowa",$H9*$I9,IF($G9="Jednostkowa",$J9*$K9,IF($G9="Billable",$L9*$M9,IF($G9="Ręczna",$N9,0)))),0)</f>
        <v/>
      </c>
      <c r="P9" s="125" t="n"/>
      <c r="Q9" s="125" t="n"/>
      <c r="R9" s="125" t="n"/>
      <c r="S9" s="126" t="n"/>
      <c r="T9" s="129">
        <f>IF($S9="",IF('COMPANY PROFILE'!$D$18="",0,'COMPANY PROFILE'!$D$18),$S9)</f>
        <v/>
      </c>
      <c r="U9" s="124" t="n"/>
      <c r="V9" s="124" t="n"/>
      <c r="W9" s="124" t="n"/>
      <c r="X9" s="127" t="n"/>
      <c r="Y9" s="127" t="n"/>
      <c r="Z9" s="127" t="n"/>
      <c r="AA9" s="127" t="n"/>
      <c r="AB9" s="127" t="n"/>
      <c r="AC9" s="127" t="n"/>
    </row>
    <row r="10" ht="21.75" customHeight="1" s="95">
      <c r="A10" s="139" t="inlineStr">
        <is>
          <t>P05</t>
        </is>
      </c>
      <c r="B10" s="127" t="n"/>
      <c r="C10" s="127" t="n"/>
      <c r="D10" s="127" t="n"/>
      <c r="E10" s="123" t="n"/>
      <c r="F10" s="124" t="n"/>
      <c r="G10" s="127" t="n"/>
      <c r="H10" s="126" t="n"/>
      <c r="I10" s="125" t="n"/>
      <c r="J10" s="124" t="n"/>
      <c r="K10" s="126" t="n"/>
      <c r="L10" s="125" t="n"/>
      <c r="M10" s="126" t="n"/>
      <c r="N10" s="126" t="n"/>
      <c r="O10" s="140">
        <f>IFERROR(IF($G10="Przychodowa",$H10*$I10,IF($G10="Jednostkowa",$J10*$K10,IF($G10="Billable",$L10*$M10,IF($G10="Ręczna",$N10,0)))),0)</f>
        <v/>
      </c>
      <c r="P10" s="125" t="n"/>
      <c r="Q10" s="125" t="n"/>
      <c r="R10" s="125" t="n"/>
      <c r="S10" s="126" t="n"/>
      <c r="T10" s="129">
        <f>IF($S10="",IF('COMPANY PROFILE'!$D$18="",0,'COMPANY PROFILE'!$D$18),$S10)</f>
        <v/>
      </c>
      <c r="U10" s="124" t="n"/>
      <c r="V10" s="124" t="n"/>
      <c r="W10" s="124" t="n"/>
      <c r="X10" s="127" t="n"/>
      <c r="Y10" s="127" t="n"/>
      <c r="Z10" s="127" t="n"/>
      <c r="AA10" s="127" t="n"/>
      <c r="AB10" s="127" t="n"/>
      <c r="AC10" s="127" t="n"/>
    </row>
    <row r="11" ht="21.75" customHeight="1" s="95">
      <c r="A11" s="139" t="inlineStr">
        <is>
          <t>P06</t>
        </is>
      </c>
      <c r="B11" s="127" t="n"/>
      <c r="C11" s="127" t="n"/>
      <c r="D11" s="127" t="n"/>
      <c r="E11" s="123" t="n"/>
      <c r="F11" s="124" t="n"/>
      <c r="G11" s="127" t="n"/>
      <c r="H11" s="126" t="n"/>
      <c r="I11" s="125" t="n"/>
      <c r="J11" s="124" t="n"/>
      <c r="K11" s="126" t="n"/>
      <c r="L11" s="125" t="n"/>
      <c r="M11" s="126" t="n"/>
      <c r="N11" s="126" t="n"/>
      <c r="O11" s="140">
        <f>IFERROR(IF($G11="Przychodowa",$H11*$I11,IF($G11="Jednostkowa",$J11*$K11,IF($G11="Billable",$L11*$M11,IF($G11="Ręczna",$N11,0)))),0)</f>
        <v/>
      </c>
      <c r="P11" s="125" t="n"/>
      <c r="Q11" s="125" t="n"/>
      <c r="R11" s="125" t="n"/>
      <c r="S11" s="126" t="n"/>
      <c r="T11" s="129">
        <f>IF($S11="",IF('COMPANY PROFILE'!$D$18="",0,'COMPANY PROFILE'!$D$18),$S11)</f>
        <v/>
      </c>
      <c r="U11" s="124" t="n"/>
      <c r="V11" s="124" t="n"/>
      <c r="W11" s="124" t="n"/>
      <c r="X11" s="127" t="n"/>
      <c r="Y11" s="127" t="n"/>
      <c r="Z11" s="127" t="n"/>
      <c r="AA11" s="127" t="n"/>
      <c r="AB11" s="127" t="n"/>
      <c r="AC11" s="127" t="n"/>
    </row>
    <row r="12" ht="21.75" customHeight="1" s="95">
      <c r="A12" s="139" t="inlineStr">
        <is>
          <t>P07</t>
        </is>
      </c>
      <c r="B12" s="127" t="n"/>
      <c r="C12" s="127" t="n"/>
      <c r="D12" s="127" t="n"/>
      <c r="E12" s="123" t="n"/>
      <c r="F12" s="124" t="n"/>
      <c r="G12" s="127" t="n"/>
      <c r="H12" s="126" t="n"/>
      <c r="I12" s="125" t="n"/>
      <c r="J12" s="124" t="n"/>
      <c r="K12" s="126" t="n"/>
      <c r="L12" s="125" t="n"/>
      <c r="M12" s="126" t="n"/>
      <c r="N12" s="126" t="n"/>
      <c r="O12" s="140">
        <f>IFERROR(IF($G12="Przychodowa",$H12*$I12,IF($G12="Jednostkowa",$J12*$K12,IF($G12="Billable",$L12*$M12,IF($G12="Ręczna",$N12,0)))),0)</f>
        <v/>
      </c>
      <c r="P12" s="125" t="n"/>
      <c r="Q12" s="125" t="n"/>
      <c r="R12" s="125" t="n"/>
      <c r="S12" s="126" t="n"/>
      <c r="T12" s="129">
        <f>IF($S12="",IF('COMPANY PROFILE'!$D$18="",0,'COMPANY PROFILE'!$D$18),$S12)</f>
        <v/>
      </c>
      <c r="U12" s="124" t="n"/>
      <c r="V12" s="124" t="n"/>
      <c r="W12" s="124" t="n"/>
      <c r="X12" s="127" t="n"/>
      <c r="Y12" s="127" t="n"/>
      <c r="Z12" s="127" t="n"/>
      <c r="AA12" s="127" t="n"/>
      <c r="AB12" s="127" t="n"/>
      <c r="AC12" s="127" t="n"/>
    </row>
    <row r="13" ht="21.75" customHeight="1" s="95">
      <c r="A13" s="139" t="inlineStr">
        <is>
          <t>P08</t>
        </is>
      </c>
      <c r="B13" s="127" t="n"/>
      <c r="C13" s="127" t="n"/>
      <c r="D13" s="127" t="n"/>
      <c r="E13" s="123" t="n"/>
      <c r="F13" s="124" t="n"/>
      <c r="G13" s="127" t="n"/>
      <c r="H13" s="126" t="n"/>
      <c r="I13" s="125" t="n"/>
      <c r="J13" s="124" t="n"/>
      <c r="K13" s="126" t="n"/>
      <c r="L13" s="125" t="n"/>
      <c r="M13" s="126" t="n"/>
      <c r="N13" s="126" t="n"/>
      <c r="O13" s="140">
        <f>IFERROR(IF($G13="Przychodowa",$H13*$I13,IF($G13="Jednostkowa",$J13*$K13,IF($G13="Billable",$L13*$M13,IF($G13="Ręczna",$N13,0)))),0)</f>
        <v/>
      </c>
      <c r="P13" s="125" t="n"/>
      <c r="Q13" s="125" t="n"/>
      <c r="R13" s="125" t="n"/>
      <c r="S13" s="126" t="n"/>
      <c r="T13" s="129">
        <f>IF($S13="",IF('COMPANY PROFILE'!$D$18="",0,'COMPANY PROFILE'!$D$18),$S13)</f>
        <v/>
      </c>
      <c r="U13" s="124" t="n"/>
      <c r="V13" s="124" t="n"/>
      <c r="W13" s="124" t="n"/>
      <c r="X13" s="127" t="n"/>
      <c r="Y13" s="127" t="n"/>
      <c r="Z13" s="127" t="n"/>
      <c r="AA13" s="127" t="n"/>
      <c r="AB13" s="127" t="n"/>
      <c r="AC13" s="127" t="n"/>
    </row>
    <row r="14" ht="21.75" customHeight="1" s="95">
      <c r="A14" s="139" t="inlineStr">
        <is>
          <t>P09</t>
        </is>
      </c>
      <c r="B14" s="127" t="n"/>
      <c r="C14" s="127" t="n"/>
      <c r="D14" s="127" t="n"/>
      <c r="E14" s="123" t="n"/>
      <c r="F14" s="124" t="n"/>
      <c r="G14" s="127" t="n"/>
      <c r="H14" s="126" t="n"/>
      <c r="I14" s="125" t="n"/>
      <c r="J14" s="124" t="n"/>
      <c r="K14" s="126" t="n"/>
      <c r="L14" s="125" t="n"/>
      <c r="M14" s="126" t="n"/>
      <c r="N14" s="126" t="n"/>
      <c r="O14" s="140">
        <f>IFERROR(IF($G14="Przychodowa",$H14*$I14,IF($G14="Jednostkowa",$J14*$K14,IF($G14="Billable",$L14*$M14,IF($G14="Ręczna",$N14,0)))),0)</f>
        <v/>
      </c>
      <c r="P14" s="125" t="n"/>
      <c r="Q14" s="125" t="n"/>
      <c r="R14" s="125" t="n"/>
      <c r="S14" s="126" t="n"/>
      <c r="T14" s="129">
        <f>IF($S14="",IF('COMPANY PROFILE'!$D$18="",0,'COMPANY PROFILE'!$D$18),$S14)</f>
        <v/>
      </c>
      <c r="U14" s="124" t="n"/>
      <c r="V14" s="124" t="n"/>
      <c r="W14" s="124" t="n"/>
      <c r="X14" s="127" t="n"/>
      <c r="Y14" s="127" t="n"/>
      <c r="Z14" s="127" t="n"/>
      <c r="AA14" s="127" t="n"/>
      <c r="AB14" s="127" t="n"/>
      <c r="AC14" s="127" t="n"/>
    </row>
    <row r="15" ht="21.75" customHeight="1" s="95">
      <c r="A15" s="139" t="inlineStr">
        <is>
          <t>P10</t>
        </is>
      </c>
      <c r="B15" s="127" t="n"/>
      <c r="C15" s="127" t="n"/>
      <c r="D15" s="127" t="n"/>
      <c r="E15" s="123" t="n"/>
      <c r="F15" s="124" t="n"/>
      <c r="G15" s="127" t="n"/>
      <c r="H15" s="126" t="n"/>
      <c r="I15" s="125" t="n"/>
      <c r="J15" s="124" t="n"/>
      <c r="K15" s="126" t="n"/>
      <c r="L15" s="125" t="n"/>
      <c r="M15" s="126" t="n"/>
      <c r="N15" s="126" t="n"/>
      <c r="O15" s="140">
        <f>IFERROR(IF($G15="Przychodowa",$H15*$I15,IF($G15="Jednostkowa",$J15*$K15,IF($G15="Billable",$L15*$M15,IF($G15="Ręczna",$N15,0)))),0)</f>
        <v/>
      </c>
      <c r="P15" s="125" t="n"/>
      <c r="Q15" s="125" t="n"/>
      <c r="R15" s="125" t="n"/>
      <c r="S15" s="126" t="n"/>
      <c r="T15" s="129">
        <f>IF($S15="",IF('COMPANY PROFILE'!$D$18="",0,'COMPANY PROFILE'!$D$18),$S15)</f>
        <v/>
      </c>
      <c r="U15" s="124" t="n"/>
      <c r="V15" s="124" t="n"/>
      <c r="W15" s="124" t="n"/>
      <c r="X15" s="127" t="n"/>
      <c r="Y15" s="127" t="n"/>
      <c r="Z15" s="127" t="n"/>
      <c r="AA15" s="127" t="n"/>
      <c r="AB15" s="127" t="n"/>
      <c r="AC15" s="127" t="n"/>
    </row>
    <row r="16" ht="21.75" customHeight="1" s="95">
      <c r="A16" s="139" t="inlineStr">
        <is>
          <t>P11</t>
        </is>
      </c>
      <c r="B16" s="127" t="n"/>
      <c r="C16" s="127" t="n"/>
      <c r="D16" s="127" t="n"/>
      <c r="E16" s="123" t="n"/>
      <c r="F16" s="124" t="n"/>
      <c r="G16" s="127" t="n"/>
      <c r="H16" s="126" t="n"/>
      <c r="I16" s="125" t="n"/>
      <c r="J16" s="124" t="n"/>
      <c r="K16" s="126" t="n"/>
      <c r="L16" s="125" t="n"/>
      <c r="M16" s="126" t="n"/>
      <c r="N16" s="126" t="n"/>
      <c r="O16" s="140">
        <f>IFERROR(IF($G16="Przychodowa",$H16*$I16,IF($G16="Jednostkowa",$J16*$K16,IF($G16="Billable",$L16*$M16,IF($G16="Ręczna",$N16,0)))),0)</f>
        <v/>
      </c>
      <c r="P16" s="125" t="n"/>
      <c r="Q16" s="125" t="n"/>
      <c r="R16" s="125" t="n"/>
      <c r="S16" s="126" t="n"/>
      <c r="T16" s="129">
        <f>IF($S16="",IF('COMPANY PROFILE'!$D$18="",0,'COMPANY PROFILE'!$D$18),$S16)</f>
        <v/>
      </c>
      <c r="U16" s="124" t="n"/>
      <c r="V16" s="124" t="n"/>
      <c r="W16" s="124" t="n"/>
      <c r="X16" s="127" t="n"/>
      <c r="Y16" s="127" t="n"/>
      <c r="Z16" s="127" t="n"/>
      <c r="AA16" s="127" t="n"/>
      <c r="AB16" s="127" t="n"/>
      <c r="AC16" s="127" t="n"/>
    </row>
    <row r="17" ht="21.75" customHeight="1" s="95">
      <c r="A17" s="139" t="inlineStr">
        <is>
          <t>P12</t>
        </is>
      </c>
      <c r="B17" s="127" t="n"/>
      <c r="C17" s="127" t="n"/>
      <c r="D17" s="127" t="n"/>
      <c r="E17" s="123" t="n"/>
      <c r="F17" s="124" t="n"/>
      <c r="G17" s="127" t="n"/>
      <c r="H17" s="126" t="n"/>
      <c r="I17" s="125" t="n"/>
      <c r="J17" s="124" t="n"/>
      <c r="K17" s="126" t="n"/>
      <c r="L17" s="125" t="n"/>
      <c r="M17" s="126" t="n"/>
      <c r="N17" s="126" t="n"/>
      <c r="O17" s="140">
        <f>IFERROR(IF($G17="Przychodowa",$H17*$I17,IF($G17="Jednostkowa",$J17*$K17,IF($G17="Billable",$L17*$M17,IF($G17="Ręczna",$N17,0)))),0)</f>
        <v/>
      </c>
      <c r="P17" s="125" t="n"/>
      <c r="Q17" s="125" t="n"/>
      <c r="R17" s="125" t="n"/>
      <c r="S17" s="126" t="n"/>
      <c r="T17" s="129">
        <f>IF($S17="",IF('COMPANY PROFILE'!$D$18="",0,'COMPANY PROFILE'!$D$18),$S17)</f>
        <v/>
      </c>
      <c r="U17" s="124" t="n"/>
      <c r="V17" s="124" t="n"/>
      <c r="W17" s="124" t="n"/>
      <c r="X17" s="127" t="n"/>
      <c r="Y17" s="127" t="n"/>
      <c r="Z17" s="127" t="n"/>
      <c r="AA17" s="127" t="n"/>
      <c r="AB17" s="127" t="n"/>
      <c r="AC17" s="127" t="n"/>
    </row>
    <row r="18"/>
    <row r="19" ht="19.5" customHeight="1" s="95">
      <c r="A19" s="99" t="inlineStr">
        <is>
          <t xml:space="preserve">  RULES THAT PROTECT THE RESULT AGAINST DOUBLE COUNTING</t>
        </is>
      </c>
      <c r="B19" s="100" t="n"/>
      <c r="C19" s="100" t="n"/>
      <c r="D19" s="100" t="n"/>
      <c r="E19" s="100" t="n"/>
      <c r="F19" s="100" t="n"/>
      <c r="G19" s="100" t="n"/>
      <c r="H19" s="100" t="n"/>
      <c r="I19" s="100" t="n"/>
      <c r="J19" s="100" t="n"/>
      <c r="K19" s="100" t="n"/>
      <c r="L19" s="100" t="n"/>
      <c r="M19" s="100" t="n"/>
      <c r="N19" s="100" t="n"/>
      <c r="O19" s="100" t="n"/>
      <c r="P19" s="100" t="n"/>
      <c r="Q19" s="100" t="n"/>
      <c r="R19" s="100" t="n"/>
      <c r="S19" s="100" t="n"/>
      <c r="T19" s="100" t="n"/>
      <c r="U19" s="100" t="n"/>
      <c r="V19" s="100" t="n"/>
      <c r="W19" s="100" t="n"/>
      <c r="X19" s="100" t="n"/>
      <c r="Y19" s="100" t="n"/>
      <c r="Z19" s="100" t="n"/>
      <c r="AA19" s="100" t="n"/>
      <c r="AB19" s="100" t="n"/>
      <c r="AC19" s="100" t="n"/>
    </row>
    <row r="20" ht="16.5" customHeight="1" s="95">
      <c r="A20" s="132" t="inlineStr">
        <is>
          <t>• One process = one pricing method. The fields of the other methods are ignored by the formula.</t>
        </is>
      </c>
    </row>
    <row r="21" ht="16.5" customHeight="1" s="95">
      <c r="A21" s="132" t="inlineStr">
        <is>
          <t>• The Billable method REPLACES counting the same people's time in the K1 category - do not add both.</t>
        </is>
      </c>
    </row>
    <row r="22" ht="16.5" customHeight="1" s="95">
      <c r="A22" s="132" t="inlineStr">
        <is>
          <t>• We count the contribution margin, not the entire revenue. Revenue can be shown as a KPI, but it does not enter into P&amp;L.</t>
        </is>
      </c>
    </row>
    <row r="23" ht="30" customHeight="1" s="95">
      <c r="A23" s="132" t="inlineStr">
        <is>
          <t>• A 0% non-recoverable share means that all sales will come back - then the margin loss is zero and the real cost is to finance the deferral and make up.</t>
        </is>
      </c>
    </row>
    <row r="24" ht="30" customHeight="1" s="95">
      <c r="A24" s="132" t="inlineStr">
        <is>
          <t>• The "N/A" method is appropriate for schools, offices and support processes - then the only measure is lost operational capacity, clearly marked as a surrogate.</t>
        </is>
      </c>
    </row>
  </sheetData>
  <mergeCells count="7">
    <mergeCell ref="A3:H3"/>
    <mergeCell ref="A21:H21"/>
    <mergeCell ref="A20:H20"/>
    <mergeCell ref="A24:H24"/>
    <mergeCell ref="A2:H2"/>
    <mergeCell ref="A23:H23"/>
    <mergeCell ref="A22:H22"/>
  </mergeCells>
  <dataValidations count="4">
    <dataValidation sqref="G6:G17" showDropDown="0" showInputMessage="0" showErrorMessage="0" allowBlank="1" errorTitle="Wartość spoza listy" error="Wybierz wartość z listy." type="list" errorStyle="stop" operator="between">
      <formula1>'LISTY POMOCNICZE'!$D$8:$D$12</formula1>
      <formula2>0</formula2>
    </dataValidation>
    <dataValidation sqref="AB6:AB17" showDropDown="0" showInputMessage="0" showErrorMessage="0" allowBlank="1" errorTitle="Wartość spoza listy" error="Wybierz wartość z listy." type="list" errorStyle="stop" operator="between">
      <formula1>'LISTY POMOCNICZE'!$G$8:$G$13</formula1>
      <formula2>0</formula2>
    </dataValidation>
    <dataValidation sqref="E6:F17 H6:H17 J6:K17 M6:N17 S6:S17 U6:W17" showDropDown="0" showInputMessage="0" showErrorMessage="0" allowBlank="1" errorTitle="Wartość nieprawidłowa" error="Podaj liczbę nie mniejszą niż 0." type="decimal" errorStyle="stop" operator="greaterThanOrEqual">
      <formula1>0</formula1>
      <formula2>0</formula2>
    </dataValidation>
    <dataValidation sqref="I6:I17 L6:L17 P6:R17" showDropDown="0" showInputMessage="0" showErrorMessage="0" allowBlank="1" errorTitle="Procent poza zakresem" error="Podaj wartość od 0% do 100%." type="decimal" errorStyle="stop" operator="between">
      <formula1>0</formula1>
      <formula2>1</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5.xml><?xml version="1.0" encoding="utf-8"?>
<worksheet xmlns="http://schemas.openxmlformats.org/spreadsheetml/2006/main">
  <sheetPr filterMode="0">
    <tabColor rgb="FF0164FF"/>
    <outlinePr summaryBelow="1" summaryRight="1"/>
    <pageSetUpPr fitToPage="0"/>
  </sheetPr>
  <dimension ref="A1:L28"/>
  <sheetViews>
    <sheetView showFormulas="0" showGridLines="0" showRowColHeaders="1" showZeros="1" rightToLeft="0" tabSelected="0" showOutlineSymbols="1" defaultGridColor="1"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baseColWidth="8" defaultColWidth="8.6796875" defaultRowHeight="15" customHeight="0" zeroHeight="0" outlineLevelRow="0"/>
  <cols>
    <col width="8" customWidth="1" style="94" min="1" max="1"/>
    <col width="30" customWidth="1" style="94" min="2" max="2"/>
    <col width="20" customWidth="1" style="94" min="3" max="6"/>
    <col width="16" customWidth="1" style="94" min="7" max="7"/>
    <col width="13" customWidth="1" style="94" min="8" max="8"/>
    <col width="28" customWidth="1" style="94" min="9" max="11"/>
    <col width="24" customWidth="1" style="94" min="12" max="12"/>
  </cols>
  <sheetData>
    <row r="1" ht="15" customHeight="1" s="95">
      <c r="A1" s="116" t="inlineStr">
        <is>
          <t>NexaIT</t>
        </is>
      </c>
    </row>
    <row r="2" ht="24" customHeight="1" s="95">
      <c r="A2" s="117" t="inlineStr">
        <is>
          <t>Systems and dependencies</t>
        </is>
      </c>
    </row>
    <row r="3" ht="30" customHeight="1" s="95">
      <c r="A3" s="118" t="inlineStr">
        <is>
          <t>Registry of systems and what depends on what. The relationship is many-to-many: one system supports many processes, and one process needs many systems.</t>
        </is>
      </c>
    </row>
    <row r="4" ht="16.5" customHeight="1" s="95">
      <c r="A4" s="138" t="inlineStr">
        <is>
          <t>DO NOT enter passwords, IP addresses, account names, or security configuration details here. Names and dependencies are enough for the model.</t>
        </is>
      </c>
    </row>
    <row r="5"/>
    <row r="6" ht="19.5" customHeight="1" s="95">
      <c r="A6" s="99" t="inlineStr">
        <is>
          <t xml:space="preserve">  REGISTER OF SYSTEMS (15 entries)</t>
        </is>
      </c>
      <c r="B6" s="100" t="n"/>
      <c r="C6" s="100" t="n"/>
      <c r="D6" s="100" t="n"/>
      <c r="E6" s="100" t="n"/>
      <c r="F6" s="100" t="n"/>
      <c r="G6" s="100" t="n"/>
      <c r="H6" s="100" t="n"/>
      <c r="I6" s="100" t="n"/>
      <c r="J6" s="100" t="n"/>
      <c r="K6" s="100" t="n"/>
      <c r="L6" s="100" t="n"/>
    </row>
    <row r="7" ht="42" customHeight="1" s="95">
      <c r="A7" s="119" t="inlineStr">
        <is>
          <t>ID</t>
        </is>
      </c>
      <c r="B7" s="119" t="inlineStr">
        <is>
          <t>System/service name</t>
        </is>
      </c>
      <c r="C7" s="119" t="inlineStr">
        <is>
          <t>Internal owner</t>
        </is>
      </c>
      <c r="D7" s="119" t="inlineStr">
        <is>
          <t>Supplier</t>
        </is>
      </c>
      <c r="E7" s="119" t="inlineStr">
        <is>
          <t>Location (on-prem / cloud / hybrid)</t>
        </is>
      </c>
      <c r="F7" s="119" t="inlineStr">
        <is>
          <t>Dependent processes (ID, e.g. P01, P03)</t>
        </is>
      </c>
      <c r="G7" s="119" t="inlineStr">
        <is>
          <t>Dependency type</t>
        </is>
      </c>
      <c r="H7" s="119" t="inlineStr">
        <is>
          <t>Criticality</t>
        </is>
      </c>
      <c r="I7" s="119" t="inlineStr">
        <is>
          <t>Redundancy Description</t>
        </is>
      </c>
      <c r="J7" s="119" t="inlineStr">
        <is>
          <t>Workaround Description</t>
        </is>
      </c>
      <c r="K7" s="119" t="inlineStr">
        <is>
          <t>Common cause relationship</t>
        </is>
      </c>
      <c r="L7" s="119" t="inlineStr">
        <is>
          <t>Notes</t>
        </is>
      </c>
    </row>
    <row r="8" ht="21.75" customHeight="1" s="95">
      <c r="A8" s="139" t="inlineStr">
        <is>
          <t>SYS01</t>
        </is>
      </c>
      <c r="B8" s="127" t="n"/>
      <c r="C8" s="127" t="n"/>
      <c r="D8" s="127" t="n"/>
      <c r="E8" s="127" t="n"/>
      <c r="F8" s="127" t="n"/>
      <c r="G8" s="127" t="n"/>
      <c r="H8" s="127" t="n"/>
      <c r="I8" s="127" t="n"/>
      <c r="J8" s="127" t="n"/>
      <c r="K8" s="127" t="n"/>
      <c r="L8" s="127" t="n"/>
    </row>
    <row r="9" ht="21.75" customHeight="1" s="95">
      <c r="A9" s="139" t="inlineStr">
        <is>
          <t>SYS02</t>
        </is>
      </c>
      <c r="B9" s="127" t="n"/>
      <c r="C9" s="127" t="n"/>
      <c r="D9" s="127" t="n"/>
      <c r="E9" s="127" t="n"/>
      <c r="F9" s="127" t="n"/>
      <c r="G9" s="127" t="n"/>
      <c r="H9" s="127" t="n"/>
      <c r="I9" s="127" t="n"/>
      <c r="J9" s="127" t="n"/>
      <c r="K9" s="127" t="n"/>
      <c r="L9" s="127" t="n"/>
    </row>
    <row r="10" ht="21.75" customHeight="1" s="95">
      <c r="A10" s="139" t="inlineStr">
        <is>
          <t>SYS03</t>
        </is>
      </c>
      <c r="B10" s="127" t="n"/>
      <c r="C10" s="127" t="n"/>
      <c r="D10" s="127" t="n"/>
      <c r="E10" s="127" t="n"/>
      <c r="F10" s="127" t="n"/>
      <c r="G10" s="127" t="n"/>
      <c r="H10" s="127" t="n"/>
      <c r="I10" s="127" t="n"/>
      <c r="J10" s="127" t="n"/>
      <c r="K10" s="127" t="n"/>
      <c r="L10" s="127" t="n"/>
    </row>
    <row r="11" ht="21.75" customHeight="1" s="95">
      <c r="A11" s="139" t="inlineStr">
        <is>
          <t>SYS04</t>
        </is>
      </c>
      <c r="B11" s="127" t="n"/>
      <c r="C11" s="127" t="n"/>
      <c r="D11" s="127" t="n"/>
      <c r="E11" s="127" t="n"/>
      <c r="F11" s="127" t="n"/>
      <c r="G11" s="127" t="n"/>
      <c r="H11" s="127" t="n"/>
      <c r="I11" s="127" t="n"/>
      <c r="J11" s="127" t="n"/>
      <c r="K11" s="127" t="n"/>
      <c r="L11" s="127" t="n"/>
    </row>
    <row r="12" ht="21.75" customHeight="1" s="95">
      <c r="A12" s="139" t="inlineStr">
        <is>
          <t>SYS05</t>
        </is>
      </c>
      <c r="B12" s="127" t="n"/>
      <c r="C12" s="127" t="n"/>
      <c r="D12" s="127" t="n"/>
      <c r="E12" s="127" t="n"/>
      <c r="F12" s="127" t="n"/>
      <c r="G12" s="127" t="n"/>
      <c r="H12" s="127" t="n"/>
      <c r="I12" s="127" t="n"/>
      <c r="J12" s="127" t="n"/>
      <c r="K12" s="127" t="n"/>
      <c r="L12" s="127" t="n"/>
    </row>
    <row r="13" ht="21.75" customHeight="1" s="95">
      <c r="A13" s="139" t="inlineStr">
        <is>
          <t>SYS06</t>
        </is>
      </c>
      <c r="B13" s="127" t="n"/>
      <c r="C13" s="127" t="n"/>
      <c r="D13" s="127" t="n"/>
      <c r="E13" s="127" t="n"/>
      <c r="F13" s="127" t="n"/>
      <c r="G13" s="127" t="n"/>
      <c r="H13" s="127" t="n"/>
      <c r="I13" s="127" t="n"/>
      <c r="J13" s="127" t="n"/>
      <c r="K13" s="127" t="n"/>
      <c r="L13" s="127" t="n"/>
    </row>
    <row r="14" ht="21.75" customHeight="1" s="95">
      <c r="A14" s="139" t="inlineStr">
        <is>
          <t>SYS07</t>
        </is>
      </c>
      <c r="B14" s="127" t="n"/>
      <c r="C14" s="127" t="n"/>
      <c r="D14" s="127" t="n"/>
      <c r="E14" s="127" t="n"/>
      <c r="F14" s="127" t="n"/>
      <c r="G14" s="127" t="n"/>
      <c r="H14" s="127" t="n"/>
      <c r="I14" s="127" t="n"/>
      <c r="J14" s="127" t="n"/>
      <c r="K14" s="127" t="n"/>
      <c r="L14" s="127" t="n"/>
    </row>
    <row r="15" ht="21.75" customHeight="1" s="95">
      <c r="A15" s="139" t="inlineStr">
        <is>
          <t>SYS08</t>
        </is>
      </c>
      <c r="B15" s="127" t="n"/>
      <c r="C15" s="127" t="n"/>
      <c r="D15" s="127" t="n"/>
      <c r="E15" s="127" t="n"/>
      <c r="F15" s="127" t="n"/>
      <c r="G15" s="127" t="n"/>
      <c r="H15" s="127" t="n"/>
      <c r="I15" s="127" t="n"/>
      <c r="J15" s="127" t="n"/>
      <c r="K15" s="127" t="n"/>
      <c r="L15" s="127" t="n"/>
    </row>
    <row r="16" ht="21.75" customHeight="1" s="95">
      <c r="A16" s="139" t="inlineStr">
        <is>
          <t>SYS09</t>
        </is>
      </c>
      <c r="B16" s="127" t="n"/>
      <c r="C16" s="127" t="n"/>
      <c r="D16" s="127" t="n"/>
      <c r="E16" s="127" t="n"/>
      <c r="F16" s="127" t="n"/>
      <c r="G16" s="127" t="n"/>
      <c r="H16" s="127" t="n"/>
      <c r="I16" s="127" t="n"/>
      <c r="J16" s="127" t="n"/>
      <c r="K16" s="127" t="n"/>
      <c r="L16" s="127" t="n"/>
    </row>
    <row r="17" ht="21.75" customHeight="1" s="95">
      <c r="A17" s="139" t="inlineStr">
        <is>
          <t>SYS10</t>
        </is>
      </c>
      <c r="B17" s="127" t="n"/>
      <c r="C17" s="127" t="n"/>
      <c r="D17" s="127" t="n"/>
      <c r="E17" s="127" t="n"/>
      <c r="F17" s="127" t="n"/>
      <c r="G17" s="127" t="n"/>
      <c r="H17" s="127" t="n"/>
      <c r="I17" s="127" t="n"/>
      <c r="J17" s="127" t="n"/>
      <c r="K17" s="127" t="n"/>
      <c r="L17" s="127" t="n"/>
    </row>
    <row r="18" ht="21.75" customHeight="1" s="95">
      <c r="A18" s="139" t="inlineStr">
        <is>
          <t>SYS11</t>
        </is>
      </c>
      <c r="B18" s="127" t="n"/>
      <c r="C18" s="127" t="n"/>
      <c r="D18" s="127" t="n"/>
      <c r="E18" s="127" t="n"/>
      <c r="F18" s="127" t="n"/>
      <c r="G18" s="127" t="n"/>
      <c r="H18" s="127" t="n"/>
      <c r="I18" s="127" t="n"/>
      <c r="J18" s="127" t="n"/>
      <c r="K18" s="127" t="n"/>
      <c r="L18" s="127" t="n"/>
    </row>
    <row r="19" ht="21.75" customHeight="1" s="95">
      <c r="A19" s="139" t="inlineStr">
        <is>
          <t>SYS12</t>
        </is>
      </c>
      <c r="B19" s="127" t="n"/>
      <c r="C19" s="127" t="n"/>
      <c r="D19" s="127" t="n"/>
      <c r="E19" s="127" t="n"/>
      <c r="F19" s="127" t="n"/>
      <c r="G19" s="127" t="n"/>
      <c r="H19" s="127" t="n"/>
      <c r="I19" s="127" t="n"/>
      <c r="J19" s="127" t="n"/>
      <c r="K19" s="127" t="n"/>
      <c r="L19" s="127" t="n"/>
    </row>
    <row r="20" ht="21.75" customHeight="1" s="95">
      <c r="A20" s="139" t="inlineStr">
        <is>
          <t>SYS13</t>
        </is>
      </c>
      <c r="B20" s="127" t="n"/>
      <c r="C20" s="127" t="n"/>
      <c r="D20" s="127" t="n"/>
      <c r="E20" s="127" t="n"/>
      <c r="F20" s="127" t="n"/>
      <c r="G20" s="127" t="n"/>
      <c r="H20" s="127" t="n"/>
      <c r="I20" s="127" t="n"/>
      <c r="J20" s="127" t="n"/>
      <c r="K20" s="127" t="n"/>
      <c r="L20" s="127" t="n"/>
    </row>
    <row r="21" ht="21.75" customHeight="1" s="95">
      <c r="A21" s="139" t="inlineStr">
        <is>
          <t>SYS14</t>
        </is>
      </c>
      <c r="B21" s="127" t="n"/>
      <c r="C21" s="127" t="n"/>
      <c r="D21" s="127" t="n"/>
      <c r="E21" s="127" t="n"/>
      <c r="F21" s="127" t="n"/>
      <c r="G21" s="127" t="n"/>
      <c r="H21" s="127" t="n"/>
      <c r="I21" s="127" t="n"/>
      <c r="J21" s="127" t="n"/>
      <c r="K21" s="127" t="n"/>
      <c r="L21" s="127" t="n"/>
    </row>
    <row r="22" ht="21.75" customHeight="1" s="95">
      <c r="A22" s="139" t="inlineStr">
        <is>
          <t>SYS15</t>
        </is>
      </c>
      <c r="B22" s="127" t="n"/>
      <c r="C22" s="127" t="n"/>
      <c r="D22" s="127" t="n"/>
      <c r="E22" s="127" t="n"/>
      <c r="F22" s="127" t="n"/>
      <c r="G22" s="127" t="n"/>
      <c r="H22" s="127" t="n"/>
      <c r="I22" s="127" t="n"/>
      <c r="J22" s="127" t="n"/>
      <c r="K22" s="127" t="n"/>
      <c r="L22" s="127" t="n"/>
    </row>
    <row r="23"/>
    <row r="24"/>
    <row r="25" ht="19.5" customHeight="1" s="95">
      <c r="A25" s="99" t="inlineStr">
        <is>
          <t xml:space="preserve">  WHY IT MATTERS FOR THE RESULT</t>
        </is>
      </c>
      <c r="B25" s="100" t="n"/>
      <c r="C25" s="100" t="n"/>
      <c r="D25" s="100" t="n"/>
      <c r="E25" s="100" t="n"/>
      <c r="F25" s="100" t="n"/>
      <c r="G25" s="100" t="n"/>
      <c r="H25" s="100" t="n"/>
      <c r="I25" s="100" t="n"/>
      <c r="J25" s="100" t="n"/>
      <c r="K25" s="100" t="n"/>
      <c r="L25" s="100" t="n"/>
    </row>
    <row r="26" ht="16.5" customHeight="1" s="95">
      <c r="A26" s="132" t="inlineStr">
        <is>
          <t>• The failure of one bottleneck can stop the entire process - then you enter 100% in the coverage matrix (SCENARIOS tab), even if the failure affects one system.</t>
        </is>
      </c>
    </row>
    <row r="27" ht="30" customHeight="1" s="95">
      <c r="A27" s="132" t="inlineStr">
        <is>
          <t>• Common cause (one rack, one link, one hypervisor, one identity provider) causes several systems to fail at once - an argument for a separate scenario rather than the sum of small ones.</t>
        </is>
      </c>
    </row>
    <row r="28" ht="16.5" customHeight="1" s="95">
      <c r="A28" s="132" t="inlineStr">
        <is>
          <t>• The actual workaround most often determines the outcome. Describe them honestly: if the workaround saves 60% of the work, include it in the incident phase instead of assuming 100% downtime.</t>
        </is>
      </c>
    </row>
  </sheetData>
  <mergeCells count="6">
    <mergeCell ref="A4:H4"/>
    <mergeCell ref="A3:H3"/>
    <mergeCell ref="A26:H26"/>
    <mergeCell ref="A2:H2"/>
    <mergeCell ref="A28:H28"/>
    <mergeCell ref="A27:H27"/>
  </mergeCells>
  <dataValidations count="2">
    <dataValidation sqref="G8:G22" showDropDown="0" showInputMessage="0" showErrorMessage="0" allowBlank="1" errorTitle="Wartość spoza listy" error="Wybierz wartość z listy." type="list" errorStyle="stop" operator="between">
      <formula1>'LISTY POMOCNICZE'!$R$8:$R$10</formula1>
      <formula2>0</formula2>
    </dataValidation>
    <dataValidation sqref="H8:H22" showDropDown="0" showInputMessage="0" showErrorMessage="0" allowBlank="1" errorTitle="Wartość spoza listy" error="Wybierz wartość z listy." type="list" errorStyle="stop" operator="between">
      <formula1>'LISTY POMOCNICZE'!$Q$8:$Q$11</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tabColor rgb="FF0164FF"/>
    <outlinePr summaryBelow="1" summaryRight="1"/>
    <pageSetUpPr fitToPage="0"/>
  </sheetPr>
  <dimension ref="A1:P143"/>
  <sheetViews>
    <sheetView showFormulas="0" showGridLines="0" showRowColHeaders="1" showZeros="1" rightToLeft="0" tabSelected="0" showOutlineSymbols="1" defaultGridColor="1"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baseColWidth="8" defaultColWidth="8.6796875" defaultRowHeight="15" customHeight="0" zeroHeight="0" outlineLevelRow="0"/>
  <cols>
    <col width="46" customWidth="1" style="94" min="1" max="1"/>
    <col width="28" customWidth="1" style="94" min="2" max="2"/>
    <col width="30" customWidth="1" style="94" min="3" max="3"/>
    <col width="28" customWidth="1" style="94" min="4" max="4"/>
    <col width="10" customWidth="1" style="94" min="5" max="5"/>
    <col width="20" customWidth="1" style="94" min="6" max="6"/>
    <col width="12" customWidth="1" style="94" min="7" max="9"/>
    <col width="14" customWidth="1" style="94" min="10" max="15"/>
    <col width="28" customWidth="1" style="94" min="16" max="16"/>
  </cols>
  <sheetData>
    <row r="1" ht="15" customHeight="1" s="95">
      <c r="A1" s="116" t="inlineStr">
        <is>
          <t>NexaIT</t>
        </is>
      </c>
    </row>
    <row r="2" ht="24" customHeight="1" s="95">
      <c r="A2" s="117" t="inlineStr">
        <is>
          <t>Event scenarios</t>
        </is>
      </c>
    </row>
    <row r="3" ht="30" customHeight="1" s="95">
      <c r="A3" s="118" t="inlineStr">
        <is>
          <t>Eight scenarios at once, each in seven phases. Downtime is almost never a "100% all the time" rectangle - so we count effective hours, not just the duration of the outage.</t>
        </is>
      </c>
    </row>
    <row r="4"/>
    <row r="5" ht="19.5" customHeight="1" s="95">
      <c r="A5" s="99" t="inlineStr">
        <is>
          <t xml:space="preserve">  1. SCENARIO HEADLINES</t>
        </is>
      </c>
      <c r="B5" s="100" t="n"/>
      <c r="C5" s="100" t="n"/>
      <c r="D5" s="100" t="n"/>
      <c r="E5" s="100" t="n"/>
      <c r="F5" s="100" t="n"/>
      <c r="G5" s="100" t="n"/>
      <c r="H5" s="100" t="n"/>
      <c r="I5" s="100" t="n"/>
      <c r="J5" s="100" t="n"/>
      <c r="K5" s="100" t="n"/>
      <c r="L5" s="100" t="n"/>
      <c r="M5" s="100" t="n"/>
      <c r="N5" s="100" t="n"/>
      <c r="O5" s="100" t="n"/>
      <c r="P5" s="100" t="n"/>
    </row>
    <row r="6" ht="42" customHeight="1" s="95">
      <c r="A6" s="119" t="inlineStr">
        <is>
          <t>ID</t>
        </is>
      </c>
      <c r="B6" s="119" t="inlineStr">
        <is>
          <t>Scenario name</t>
        </is>
      </c>
      <c r="C6" s="119" t="inlineStr">
        <is>
          <t>Event type</t>
        </is>
      </c>
      <c r="D6" s="119" t="inlineStr">
        <is>
          <t>Scope - Locations/Channels/Changes</t>
        </is>
      </c>
      <c r="E6" s="119" t="inlineStr">
        <is>
          <t>Active</t>
        </is>
      </c>
      <c r="F6" s="119" t="inlineStr">
        <is>
          <t>A measure of frequency</t>
        </is>
      </c>
      <c r="G6" s="119" t="inlineStr">
        <is>
          <t>Frequency - Low</t>
        </is>
      </c>
      <c r="H6" s="119" t="inlineStr">
        <is>
          <t>Frequency - Base</t>
        </is>
      </c>
      <c r="I6" s="119" t="inlineStr">
        <is>
          <t>Frequency - High</t>
        </is>
      </c>
      <c r="J6" s="119" t="inlineStr">
        <is>
          <t>Calendar time - low [h]</t>
        </is>
      </c>
      <c r="K6" s="119" t="inlineStr">
        <is>
          <t>Calendar time - base [h]</t>
        </is>
      </c>
      <c r="L6" s="119" t="inlineStr">
        <is>
          <t>Calendar time - high [h]</t>
        </is>
      </c>
      <c r="M6" s="119" t="inlineStr">
        <is>
          <t>Effective H Hours - Low</t>
        </is>
      </c>
      <c r="N6" s="119" t="inlineStr">
        <is>
          <t>Effective H Hours - Base</t>
        </is>
      </c>
      <c r="O6" s="119" t="inlineStr">
        <is>
          <t>Effective H Hours - High</t>
        </is>
      </c>
      <c r="P6" s="119" t="inlineStr">
        <is>
          <t>Notes</t>
        </is>
      </c>
    </row>
    <row r="7" ht="21.75" customHeight="1" s="95">
      <c r="A7" s="141" t="inlineStr">
        <is>
          <t>S1</t>
        </is>
      </c>
      <c r="B7" s="127" t="n"/>
      <c r="C7" s="127" t="n"/>
      <c r="D7" s="127" t="n"/>
      <c r="E7" s="127" t="n"/>
      <c r="F7" s="127" t="n"/>
      <c r="G7" s="124" t="n"/>
      <c r="H7" s="124" t="n"/>
      <c r="I7" s="124" t="n"/>
      <c r="J7" s="128">
        <f>ROUND(SUM($D$34:$D$40),2)</f>
        <v/>
      </c>
      <c r="K7" s="128">
        <f>ROUND(SUM($E$34:$E$40),2)</f>
        <v/>
      </c>
      <c r="L7" s="128">
        <f>ROUND(SUM($F$34:$F$40),2)</f>
        <v/>
      </c>
      <c r="M7" s="128">
        <f>ROUND(SUM($I$34:$I$40),2)</f>
        <v/>
      </c>
      <c r="N7" s="142">
        <f>ROUND(SUM($J$34:$J$40),2)</f>
        <v/>
      </c>
      <c r="O7" s="128">
        <f>ROUND(SUM($K$34:$K$40),2)</f>
        <v/>
      </c>
      <c r="P7" s="127" t="n"/>
    </row>
    <row r="8" ht="21.75" customHeight="1" s="95">
      <c r="A8" s="141" t="inlineStr">
        <is>
          <t>S2</t>
        </is>
      </c>
      <c r="B8" s="127" t="n"/>
      <c r="C8" s="127" t="n"/>
      <c r="D8" s="127" t="n"/>
      <c r="E8" s="127" t="n"/>
      <c r="F8" s="127" t="n"/>
      <c r="G8" s="124" t="n"/>
      <c r="H8" s="124" t="n"/>
      <c r="I8" s="124" t="n"/>
      <c r="J8" s="128">
        <f>ROUND(SUM($D$41:$D$47),2)</f>
        <v/>
      </c>
      <c r="K8" s="128">
        <f>ROUND(SUM($E$41:$E$47),2)</f>
        <v/>
      </c>
      <c r="L8" s="128">
        <f>ROUND(SUM($F$41:$F$47),2)</f>
        <v/>
      </c>
      <c r="M8" s="128">
        <f>ROUND(SUM($I$41:$I$47),2)</f>
        <v/>
      </c>
      <c r="N8" s="142">
        <f>ROUND(SUM($J$41:$J$47),2)</f>
        <v/>
      </c>
      <c r="O8" s="128">
        <f>ROUND(SUM($K$41:$K$47),2)</f>
        <v/>
      </c>
      <c r="P8" s="127" t="n"/>
    </row>
    <row r="9" ht="21.75" customHeight="1" s="95">
      <c r="A9" s="141" t="inlineStr">
        <is>
          <t>S3</t>
        </is>
      </c>
      <c r="B9" s="127" t="n"/>
      <c r="C9" s="127" t="n"/>
      <c r="D9" s="127" t="n"/>
      <c r="E9" s="127" t="n"/>
      <c r="F9" s="127" t="n"/>
      <c r="G9" s="124" t="n"/>
      <c r="H9" s="124" t="n"/>
      <c r="I9" s="124" t="n"/>
      <c r="J9" s="128">
        <f>ROUND(SUM($D$48:$D$54),2)</f>
        <v/>
      </c>
      <c r="K9" s="128">
        <f>ROUND(SUM($E$48:$E$54),2)</f>
        <v/>
      </c>
      <c r="L9" s="128">
        <f>ROUND(SUM($F$48:$F$54),2)</f>
        <v/>
      </c>
      <c r="M9" s="128">
        <f>ROUND(SUM($I$48:$I$54),2)</f>
        <v/>
      </c>
      <c r="N9" s="142">
        <f>ROUND(SUM($J$48:$J$54),2)</f>
        <v/>
      </c>
      <c r="O9" s="128">
        <f>ROUND(SUM($K$48:$K$54),2)</f>
        <v/>
      </c>
      <c r="P9" s="127" t="n"/>
    </row>
    <row r="10" ht="21.75" customHeight="1" s="95">
      <c r="A10" s="141" t="inlineStr">
        <is>
          <t>S4</t>
        </is>
      </c>
      <c r="B10" s="127" t="n"/>
      <c r="C10" s="127" t="n"/>
      <c r="D10" s="127" t="n"/>
      <c r="E10" s="127" t="n"/>
      <c r="F10" s="127" t="n"/>
      <c r="G10" s="124" t="n"/>
      <c r="H10" s="124" t="n"/>
      <c r="I10" s="124" t="n"/>
      <c r="J10" s="128">
        <f>ROUND(SUM($D$55:$D$61),2)</f>
        <v/>
      </c>
      <c r="K10" s="128">
        <f>ROUND(SUM($E$55:$E$61),2)</f>
        <v/>
      </c>
      <c r="L10" s="128">
        <f>ROUND(SUM($F$55:$F$61),2)</f>
        <v/>
      </c>
      <c r="M10" s="128">
        <f>ROUND(SUM($I$55:$I$61),2)</f>
        <v/>
      </c>
      <c r="N10" s="142">
        <f>ROUND(SUM($J$55:$J$61),2)</f>
        <v/>
      </c>
      <c r="O10" s="128">
        <f>ROUND(SUM($K$55:$K$61),2)</f>
        <v/>
      </c>
      <c r="P10" s="127" t="n"/>
    </row>
    <row r="11" ht="21.75" customHeight="1" s="95">
      <c r="A11" s="141" t="inlineStr">
        <is>
          <t>S5</t>
        </is>
      </c>
      <c r="B11" s="127" t="n"/>
      <c r="C11" s="127" t="n"/>
      <c r="D11" s="127" t="n"/>
      <c r="E11" s="127" t="n"/>
      <c r="F11" s="127" t="n"/>
      <c r="G11" s="124" t="n"/>
      <c r="H11" s="124" t="n"/>
      <c r="I11" s="124" t="n"/>
      <c r="J11" s="128">
        <f>ROUND(SUM($D$62:$D$68),2)</f>
        <v/>
      </c>
      <c r="K11" s="128">
        <f>ROUND(SUM($E$62:$E$68),2)</f>
        <v/>
      </c>
      <c r="L11" s="128">
        <f>ROUND(SUM($F$62:$F$68),2)</f>
        <v/>
      </c>
      <c r="M11" s="128">
        <f>ROUND(SUM($I$62:$I$68),2)</f>
        <v/>
      </c>
      <c r="N11" s="142">
        <f>ROUND(SUM($J$62:$J$68),2)</f>
        <v/>
      </c>
      <c r="O11" s="128">
        <f>ROUND(SUM($K$62:$K$68),2)</f>
        <v/>
      </c>
      <c r="P11" s="127" t="n"/>
    </row>
    <row r="12" ht="21.75" customHeight="1" s="95">
      <c r="A12" s="141" t="inlineStr">
        <is>
          <t>S6</t>
        </is>
      </c>
      <c r="B12" s="127" t="n"/>
      <c r="C12" s="127" t="n"/>
      <c r="D12" s="127" t="n"/>
      <c r="E12" s="127" t="n"/>
      <c r="F12" s="127" t="n"/>
      <c r="G12" s="124" t="n"/>
      <c r="H12" s="124" t="n"/>
      <c r="I12" s="124" t="n"/>
      <c r="J12" s="128">
        <f>ROUND(SUM($D$69:$D$75),2)</f>
        <v/>
      </c>
      <c r="K12" s="128">
        <f>ROUND(SUM($E$69:$E$75),2)</f>
        <v/>
      </c>
      <c r="L12" s="128">
        <f>ROUND(SUM($F$69:$F$75),2)</f>
        <v/>
      </c>
      <c r="M12" s="128">
        <f>ROUND(SUM($I$69:$I$75),2)</f>
        <v/>
      </c>
      <c r="N12" s="142">
        <f>ROUND(SUM($J$69:$J$75),2)</f>
        <v/>
      </c>
      <c r="O12" s="128">
        <f>ROUND(SUM($K$69:$K$75),2)</f>
        <v/>
      </c>
      <c r="P12" s="127" t="n"/>
    </row>
    <row r="13" ht="21.75" customHeight="1" s="95">
      <c r="A13" s="141" t="inlineStr">
        <is>
          <t>S7</t>
        </is>
      </c>
      <c r="B13" s="127" t="n"/>
      <c r="C13" s="127" t="n"/>
      <c r="D13" s="127" t="n"/>
      <c r="E13" s="127" t="n"/>
      <c r="F13" s="127" t="n"/>
      <c r="G13" s="124" t="n"/>
      <c r="H13" s="124" t="n"/>
      <c r="I13" s="124" t="n"/>
      <c r="J13" s="128">
        <f>ROUND(SUM($D$76:$D$82),2)</f>
        <v/>
      </c>
      <c r="K13" s="128">
        <f>ROUND(SUM($E$76:$E$82),2)</f>
        <v/>
      </c>
      <c r="L13" s="128">
        <f>ROUND(SUM($F$76:$F$82),2)</f>
        <v/>
      </c>
      <c r="M13" s="128">
        <f>ROUND(SUM($I$76:$I$82),2)</f>
        <v/>
      </c>
      <c r="N13" s="142">
        <f>ROUND(SUM($J$76:$J$82),2)</f>
        <v/>
      </c>
      <c r="O13" s="128">
        <f>ROUND(SUM($K$76:$K$82),2)</f>
        <v/>
      </c>
      <c r="P13" s="127" t="n"/>
    </row>
    <row r="14" ht="21.75" customHeight="1" s="95">
      <c r="A14" s="141" t="inlineStr">
        <is>
          <t>S8</t>
        </is>
      </c>
      <c r="B14" s="127" t="n"/>
      <c r="C14" s="127" t="n"/>
      <c r="D14" s="127" t="n"/>
      <c r="E14" s="127" t="n"/>
      <c r="F14" s="127" t="n"/>
      <c r="G14" s="124" t="n"/>
      <c r="H14" s="124" t="n"/>
      <c r="I14" s="124" t="n"/>
      <c r="J14" s="128">
        <f>ROUND(SUM($D$83:$D$89),2)</f>
        <v/>
      </c>
      <c r="K14" s="128">
        <f>ROUND(SUM($E$83:$E$89),2)</f>
        <v/>
      </c>
      <c r="L14" s="128">
        <f>ROUND(SUM($F$83:$F$89),2)</f>
        <v/>
      </c>
      <c r="M14" s="128">
        <f>ROUND(SUM($I$83:$I$89),2)</f>
        <v/>
      </c>
      <c r="N14" s="142">
        <f>ROUND(SUM($J$83:$J$89),2)</f>
        <v/>
      </c>
      <c r="O14" s="128">
        <f>ROUND(SUM($K$83:$K$89),2)</f>
        <v/>
      </c>
      <c r="P14" s="127" t="n"/>
    </row>
    <row r="15"/>
    <row r="16" ht="19.5" customHeight="1" s="95">
      <c r="A16" s="99" t="inlineStr">
        <is>
          <t xml:space="preserve">  2. COVERAGE MATRIX - what part of the process is in a given scenario [%]</t>
        </is>
      </c>
      <c r="B16" s="100" t="n"/>
      <c r="C16" s="100" t="n"/>
      <c r="D16" s="100" t="n"/>
      <c r="E16" s="100" t="n"/>
      <c r="F16" s="100" t="n"/>
      <c r="G16" s="100" t="n"/>
      <c r="H16" s="100" t="n"/>
      <c r="I16" s="100" t="n"/>
      <c r="J16" s="100" t="n"/>
      <c r="K16" s="100" t="n"/>
      <c r="L16" s="100" t="n"/>
      <c r="M16" s="100" t="n"/>
      <c r="N16" s="100" t="n"/>
      <c r="O16" s="100" t="n"/>
      <c r="P16" s="100" t="n"/>
    </row>
    <row r="17" ht="15" customHeight="1" s="95">
      <c r="A17" s="143" t="inlineStr">
        <is>
          <t>Active scenario (1/0) →</t>
        </is>
      </c>
      <c r="C17" s="144">
        <f>IF($E$7="TAK",1,0)</f>
        <v/>
      </c>
      <c r="D17" s="144">
        <f>IF($E$8="TAK",1,0)</f>
        <v/>
      </c>
      <c r="E17" s="144">
        <f>IF($E$9="TAK",1,0)</f>
        <v/>
      </c>
      <c r="F17" s="144">
        <f>IF($E$10="TAK",1,0)</f>
        <v/>
      </c>
      <c r="G17" s="144">
        <f>IF($E$11="TAK",1,0)</f>
        <v/>
      </c>
      <c r="H17" s="144">
        <f>IF($E$12="TAK",1,0)</f>
        <v/>
      </c>
      <c r="I17" s="144">
        <f>IF($E$13="TAK",1,0)</f>
        <v/>
      </c>
      <c r="J17" s="144">
        <f>IF($E$14="TAK",1,0)</f>
        <v/>
      </c>
    </row>
    <row r="18" ht="36" customHeight="1" s="95">
      <c r="A18" s="119" t="inlineStr">
        <is>
          <t>Process ID</t>
        </is>
      </c>
      <c r="B18" s="119" t="inlineStr">
        <is>
          <t>Process name (from the PROCESSES tab)</t>
        </is>
      </c>
      <c r="C18" s="119" t="inlineStr">
        <is>
          <t>S1</t>
        </is>
      </c>
      <c r="D18" s="119" t="inlineStr">
        <is>
          <t>S2</t>
        </is>
      </c>
      <c r="E18" s="119" t="inlineStr">
        <is>
          <t>S3</t>
        </is>
      </c>
      <c r="F18" s="119" t="inlineStr">
        <is>
          <t>S4</t>
        </is>
      </c>
      <c r="G18" s="119" t="inlineStr">
        <is>
          <t>S5</t>
        </is>
      </c>
      <c r="H18" s="119" t="inlineStr">
        <is>
          <t>S6</t>
        </is>
      </c>
      <c r="I18" s="119" t="inlineStr">
        <is>
          <t>S7</t>
        </is>
      </c>
      <c r="J18" s="119" t="inlineStr">
        <is>
          <t>S8</t>
        </is>
      </c>
      <c r="K18" s="119" t="inlineStr">
        <is>
          <t>Sum of shares in active scenarios</t>
        </is>
      </c>
    </row>
    <row r="19" ht="19.5" customHeight="1" s="95">
      <c r="A19" s="139" t="inlineStr">
        <is>
          <t>P01</t>
        </is>
      </c>
      <c r="B19" s="145">
        <f>IF('PROCESSES'!$B$6="","",'PROCESSES'!$B$6)</f>
        <v/>
      </c>
      <c r="C19" s="125" t="n"/>
      <c r="D19" s="125" t="n"/>
      <c r="E19" s="125" t="n"/>
      <c r="F19" s="125" t="n"/>
      <c r="G19" s="125" t="n"/>
      <c r="H19" s="125" t="n"/>
      <c r="I19" s="125" t="n"/>
      <c r="J19" s="125" t="n"/>
      <c r="K19" s="146">
        <f>ROUND(SUMPRODUCT($C19:$J19,$C$17:$J$17),4)</f>
        <v/>
      </c>
    </row>
    <row r="20" ht="19.5" customHeight="1" s="95">
      <c r="A20" s="139" t="inlineStr">
        <is>
          <t>P02</t>
        </is>
      </c>
      <c r="B20" s="145">
        <f>IF('PROCESSES'!$B$7="","",'PROCESSES'!$B$7)</f>
        <v/>
      </c>
      <c r="C20" s="125" t="n"/>
      <c r="D20" s="125" t="n"/>
      <c r="E20" s="125" t="n"/>
      <c r="F20" s="125" t="n"/>
      <c r="G20" s="125" t="n"/>
      <c r="H20" s="125" t="n"/>
      <c r="I20" s="125" t="n"/>
      <c r="J20" s="125" t="n"/>
      <c r="K20" s="146">
        <f>ROUND(SUMPRODUCT($C20:$J20,$C$17:$J$17),4)</f>
        <v/>
      </c>
    </row>
    <row r="21" ht="19.5" customHeight="1" s="95">
      <c r="A21" s="139" t="inlineStr">
        <is>
          <t>P03</t>
        </is>
      </c>
      <c r="B21" s="145">
        <f>IF('PROCESSES'!$B$8="","",'PROCESSES'!$B$8)</f>
        <v/>
      </c>
      <c r="C21" s="125" t="n"/>
      <c r="D21" s="125" t="n"/>
      <c r="E21" s="125" t="n"/>
      <c r="F21" s="125" t="n"/>
      <c r="G21" s="125" t="n"/>
      <c r="H21" s="125" t="n"/>
      <c r="I21" s="125" t="n"/>
      <c r="J21" s="125" t="n"/>
      <c r="K21" s="146">
        <f>ROUND(SUMPRODUCT($C21:$J21,$C$17:$J$17),4)</f>
        <v/>
      </c>
    </row>
    <row r="22" ht="19.5" customHeight="1" s="95">
      <c r="A22" s="139" t="inlineStr">
        <is>
          <t>P04</t>
        </is>
      </c>
      <c r="B22" s="145">
        <f>IF('PROCESSES'!$B$9="","",'PROCESSES'!$B$9)</f>
        <v/>
      </c>
      <c r="C22" s="125" t="n"/>
      <c r="D22" s="125" t="n"/>
      <c r="E22" s="125" t="n"/>
      <c r="F22" s="125" t="n"/>
      <c r="G22" s="125" t="n"/>
      <c r="H22" s="125" t="n"/>
      <c r="I22" s="125" t="n"/>
      <c r="J22" s="125" t="n"/>
      <c r="K22" s="146">
        <f>ROUND(SUMPRODUCT($C22:$J22,$C$17:$J$17),4)</f>
        <v/>
      </c>
    </row>
    <row r="23" ht="19.5" customHeight="1" s="95">
      <c r="A23" s="139" t="inlineStr">
        <is>
          <t>P05</t>
        </is>
      </c>
      <c r="B23" s="145">
        <f>IF('PROCESSES'!$B$10="","",'PROCESSES'!$B$10)</f>
        <v/>
      </c>
      <c r="C23" s="125" t="n"/>
      <c r="D23" s="125" t="n"/>
      <c r="E23" s="125" t="n"/>
      <c r="F23" s="125" t="n"/>
      <c r="G23" s="125" t="n"/>
      <c r="H23" s="125" t="n"/>
      <c r="I23" s="125" t="n"/>
      <c r="J23" s="125" t="n"/>
      <c r="K23" s="146">
        <f>ROUND(SUMPRODUCT($C23:$J23,$C$17:$J$17),4)</f>
        <v/>
      </c>
    </row>
    <row r="24" ht="19.5" customHeight="1" s="95">
      <c r="A24" s="139" t="inlineStr">
        <is>
          <t>P06</t>
        </is>
      </c>
      <c r="B24" s="145">
        <f>IF('PROCESSES'!$B$11="","",'PROCESSES'!$B$11)</f>
        <v/>
      </c>
      <c r="C24" s="125" t="n"/>
      <c r="D24" s="125" t="n"/>
      <c r="E24" s="125" t="n"/>
      <c r="F24" s="125" t="n"/>
      <c r="G24" s="125" t="n"/>
      <c r="H24" s="125" t="n"/>
      <c r="I24" s="125" t="n"/>
      <c r="J24" s="125" t="n"/>
      <c r="K24" s="146">
        <f>ROUND(SUMPRODUCT($C24:$J24,$C$17:$J$17),4)</f>
        <v/>
      </c>
    </row>
    <row r="25" ht="19.5" customHeight="1" s="95">
      <c r="A25" s="139" t="inlineStr">
        <is>
          <t>P07</t>
        </is>
      </c>
      <c r="B25" s="145">
        <f>IF('PROCESSES'!$B$12="","",'PROCESSES'!$B$12)</f>
        <v/>
      </c>
      <c r="C25" s="125" t="n"/>
      <c r="D25" s="125" t="n"/>
      <c r="E25" s="125" t="n"/>
      <c r="F25" s="125" t="n"/>
      <c r="G25" s="125" t="n"/>
      <c r="H25" s="125" t="n"/>
      <c r="I25" s="125" t="n"/>
      <c r="J25" s="125" t="n"/>
      <c r="K25" s="146">
        <f>ROUND(SUMPRODUCT($C25:$J25,$C$17:$J$17),4)</f>
        <v/>
      </c>
    </row>
    <row r="26" ht="19.5" customHeight="1" s="95">
      <c r="A26" s="139" t="inlineStr">
        <is>
          <t>P08</t>
        </is>
      </c>
      <c r="B26" s="145">
        <f>IF('PROCESSES'!$B$13="","",'PROCESSES'!$B$13)</f>
        <v/>
      </c>
      <c r="C26" s="125" t="n"/>
      <c r="D26" s="125" t="n"/>
      <c r="E26" s="125" t="n"/>
      <c r="F26" s="125" t="n"/>
      <c r="G26" s="125" t="n"/>
      <c r="H26" s="125" t="n"/>
      <c r="I26" s="125" t="n"/>
      <c r="J26" s="125" t="n"/>
      <c r="K26" s="146">
        <f>ROUND(SUMPRODUCT($C26:$J26,$C$17:$J$17),4)</f>
        <v/>
      </c>
    </row>
    <row r="27" ht="19.5" customHeight="1" s="95">
      <c r="A27" s="139" t="inlineStr">
        <is>
          <t>P09</t>
        </is>
      </c>
      <c r="B27" s="145">
        <f>IF('PROCESSES'!$B$14="","",'PROCESSES'!$B$14)</f>
        <v/>
      </c>
      <c r="C27" s="125" t="n"/>
      <c r="D27" s="125" t="n"/>
      <c r="E27" s="125" t="n"/>
      <c r="F27" s="125" t="n"/>
      <c r="G27" s="125" t="n"/>
      <c r="H27" s="125" t="n"/>
      <c r="I27" s="125" t="n"/>
      <c r="J27" s="125" t="n"/>
      <c r="K27" s="146">
        <f>ROUND(SUMPRODUCT($C27:$J27,$C$17:$J$17),4)</f>
        <v/>
      </c>
    </row>
    <row r="28" ht="19.5" customHeight="1" s="95">
      <c r="A28" s="139" t="inlineStr">
        <is>
          <t>P10</t>
        </is>
      </c>
      <c r="B28" s="145">
        <f>IF('PROCESSES'!$B$15="","",'PROCESSES'!$B$15)</f>
        <v/>
      </c>
      <c r="C28" s="125" t="n"/>
      <c r="D28" s="125" t="n"/>
      <c r="E28" s="125" t="n"/>
      <c r="F28" s="125" t="n"/>
      <c r="G28" s="125" t="n"/>
      <c r="H28" s="125" t="n"/>
      <c r="I28" s="125" t="n"/>
      <c r="J28" s="125" t="n"/>
      <c r="K28" s="146">
        <f>ROUND(SUMPRODUCT($C28:$J28,$C$17:$J$17),4)</f>
        <v/>
      </c>
    </row>
    <row r="29" ht="19.5" customHeight="1" s="95">
      <c r="A29" s="139" t="inlineStr">
        <is>
          <t>P11</t>
        </is>
      </c>
      <c r="B29" s="145">
        <f>IF('PROCESSES'!$B$16="","",'PROCESSES'!$B$16)</f>
        <v/>
      </c>
      <c r="C29" s="125" t="n"/>
      <c r="D29" s="125" t="n"/>
      <c r="E29" s="125" t="n"/>
      <c r="F29" s="125" t="n"/>
      <c r="G29" s="125" t="n"/>
      <c r="H29" s="125" t="n"/>
      <c r="I29" s="125" t="n"/>
      <c r="J29" s="125" t="n"/>
      <c r="K29" s="146">
        <f>ROUND(SUMPRODUCT($C29:$J29,$C$17:$J$17),4)</f>
        <v/>
      </c>
    </row>
    <row r="30" ht="19.5" customHeight="1" s="95">
      <c r="A30" s="139" t="inlineStr">
        <is>
          <t>P12</t>
        </is>
      </c>
      <c r="B30" s="145">
        <f>IF('PROCESSES'!$B$17="","",'PROCESSES'!$B$17)</f>
        <v/>
      </c>
      <c r="C30" s="125" t="n"/>
      <c r="D30" s="125" t="n"/>
      <c r="E30" s="125" t="n"/>
      <c r="F30" s="125" t="n"/>
      <c r="G30" s="125" t="n"/>
      <c r="H30" s="125" t="n"/>
      <c r="I30" s="125" t="n"/>
      <c r="J30" s="125" t="n"/>
      <c r="K30" s="146">
        <f>ROUND(SUMPRODUCT($C30:$J30,$C$17:$J$17),4)</f>
        <v/>
      </c>
    </row>
    <row r="31" ht="27.75" customHeight="1" s="95">
      <c r="A31" s="107" t="inlineStr">
        <is>
          <t>An empty field or 0% means "process intact" (not applicable), not "loss of PLN 0". If the sum of the process shares in active scenarios exceeds 100%, the QA tab will report this - usually it means that two scenarios describe the same event.</t>
        </is>
      </c>
    </row>
    <row r="32" ht="19.5" customHeight="1" s="95">
      <c r="A32" s="99" t="inlineStr">
        <is>
          <t xml:space="preserve">  3. EVENT PHASES (7 phases × 8 scenarios)</t>
        </is>
      </c>
      <c r="B32" s="100" t="n"/>
      <c r="C32" s="100" t="n"/>
      <c r="D32" s="100" t="n"/>
      <c r="E32" s="100" t="n"/>
      <c r="F32" s="100" t="n"/>
      <c r="G32" s="100" t="n"/>
      <c r="H32" s="100" t="n"/>
      <c r="I32" s="100" t="n"/>
      <c r="J32" s="100" t="n"/>
      <c r="K32" s="100" t="n"/>
      <c r="L32" s="100" t="n"/>
      <c r="M32" s="100" t="n"/>
      <c r="N32" s="100" t="n"/>
      <c r="O32" s="100" t="n"/>
      <c r="P32" s="100" t="n"/>
    </row>
    <row r="33" ht="42" customHeight="1" s="95">
      <c r="A33" s="119" t="inlineStr">
        <is>
          <t>Scenario</t>
        </is>
      </c>
      <c r="B33" s="119" t="inlineStr">
        <is>
          <t>No</t>
        </is>
      </c>
      <c r="C33" s="119" t="inlineStr">
        <is>
          <t>Event phase</t>
        </is>
      </c>
      <c r="D33" s="119" t="inlineStr">
        <is>
          <t>Time - Low [h]</t>
        </is>
      </c>
      <c r="E33" s="119" t="inlineStr">
        <is>
          <t>Time - base [h]</t>
        </is>
      </c>
      <c r="F33" s="119" t="inlineStr">
        <is>
          <t>Time - high [h]</t>
        </is>
      </c>
      <c r="G33" s="119" t="inlineStr">
        <is>
          <t>Phase efficiency loss [%]</t>
        </is>
      </c>
      <c r="H33" s="119" t="inlineStr">
        <is>
          <t>Bypass efficiency [%]</t>
        </is>
      </c>
      <c r="I33" s="119" t="inlineStr">
        <is>
          <t>Effective multiplier - low [h]</t>
        </is>
      </c>
      <c r="J33" s="119" t="inlineStr">
        <is>
          <t>Effective multiplier - base [h]</t>
        </is>
      </c>
      <c r="K33" s="119" t="inlineStr">
        <is>
          <t>Effective multiplier - high [h]</t>
        </is>
      </c>
      <c r="L33" s="119" t="inlineStr">
        <is>
          <t>What happens in this phase/notes</t>
        </is>
      </c>
    </row>
    <row r="34" ht="18" customHeight="1" s="95">
      <c r="A34" s="147" t="inlineStr">
        <is>
          <t>S1</t>
        </is>
      </c>
      <c r="B34" s="148" t="n">
        <v>1</v>
      </c>
      <c r="C34" s="149" t="inlineStr">
        <is>
          <t>1. Detection and confirmation</t>
        </is>
      </c>
      <c r="D34" s="150" t="n"/>
      <c r="E34" s="150" t="n"/>
      <c r="F34" s="150" t="n"/>
      <c r="G34" s="151" t="n"/>
      <c r="H34" s="151" t="n"/>
      <c r="I34" s="152">
        <f>ROUND(IFERROR($D34*$G34*(1-$H34),0),3)</f>
        <v/>
      </c>
      <c r="J34" s="152">
        <f>ROUND(IFERROR($E34*$G34*(1-$H34),0),3)</f>
        <v/>
      </c>
      <c r="K34" s="152">
        <f>ROUND(IFERROR($F34*$G34*(1-$H34),0),3)</f>
        <v/>
      </c>
      <c r="L34" s="153" t="n"/>
    </row>
    <row r="35" ht="18" customHeight="1" s="95">
      <c r="A35" s="139" t="inlineStr">
        <is>
          <t>S1</t>
        </is>
      </c>
      <c r="B35" s="122" t="n">
        <v>2</v>
      </c>
      <c r="C35" s="121" t="inlineStr">
        <is>
          <t>2. Full downtime</t>
        </is>
      </c>
      <c r="D35" s="124" t="n"/>
      <c r="E35" s="124" t="n"/>
      <c r="F35" s="124" t="n"/>
      <c r="G35" s="125" t="n"/>
      <c r="H35" s="125" t="n"/>
      <c r="I35" s="128">
        <f>ROUND(IFERROR($D35*$G35*(1-$H35),0),3)</f>
        <v/>
      </c>
      <c r="J35" s="128">
        <f>ROUND(IFERROR($E35*$G35*(1-$H35),0),3)</f>
        <v/>
      </c>
      <c r="K35" s="128">
        <f>ROUND(IFERROR($F35*$G35*(1-$H35),0),3)</f>
        <v/>
      </c>
      <c r="L35" s="127" t="n"/>
    </row>
    <row r="36" ht="18" customHeight="1" s="95">
      <c r="A36" s="139" t="inlineStr">
        <is>
          <t>S1</t>
        </is>
      </c>
      <c r="B36" s="122" t="n">
        <v>3</v>
      </c>
      <c r="C36" s="121" t="inlineStr">
        <is>
          <t>3. Bypass/emergency operation</t>
        </is>
      </c>
      <c r="D36" s="124" t="n"/>
      <c r="E36" s="124" t="n"/>
      <c r="F36" s="124" t="n"/>
      <c r="G36" s="125" t="n"/>
      <c r="H36" s="125" t="n"/>
      <c r="I36" s="128">
        <f>ROUND(IFERROR($D36*$G36*(1-$H36),0),3)</f>
        <v/>
      </c>
      <c r="J36" s="128">
        <f>ROUND(IFERROR($E36*$G36*(1-$H36),0),3)</f>
        <v/>
      </c>
      <c r="K36" s="128">
        <f>ROUND(IFERROR($F36*$G36*(1-$H36),0),3)</f>
        <v/>
      </c>
      <c r="L36" s="127" t="n"/>
    </row>
    <row r="37" ht="18" customHeight="1" s="95">
      <c r="A37" s="139" t="inlineStr">
        <is>
          <t>S1</t>
        </is>
      </c>
      <c r="B37" s="122" t="n">
        <v>4</v>
      </c>
      <c r="C37" s="121" t="inlineStr">
        <is>
          <t>4. Partial restoration</t>
        </is>
      </c>
      <c r="D37" s="124" t="n"/>
      <c r="E37" s="124" t="n"/>
      <c r="F37" s="124" t="n"/>
      <c r="G37" s="125" t="n"/>
      <c r="H37" s="125" t="n"/>
      <c r="I37" s="128">
        <f>ROUND(IFERROR($D37*$G37*(1-$H37),0),3)</f>
        <v/>
      </c>
      <c r="J37" s="128">
        <f>ROUND(IFERROR($E37*$G37*(1-$H37),0),3)</f>
        <v/>
      </c>
      <c r="K37" s="128">
        <f>ROUND(IFERROR($F37*$G37*(1-$H37),0),3)</f>
        <v/>
      </c>
      <c r="L37" s="127" t="n"/>
    </row>
    <row r="38" ht="18" customHeight="1" s="95">
      <c r="A38" s="139" t="inlineStr">
        <is>
          <t>S1</t>
        </is>
      </c>
      <c r="B38" s="122" t="n">
        <v>5</v>
      </c>
      <c r="C38" s="121" t="inlineStr">
        <is>
          <t>5. Full technical restoration</t>
        </is>
      </c>
      <c r="D38" s="124" t="n"/>
      <c r="E38" s="124" t="n"/>
      <c r="F38" s="124" t="n"/>
      <c r="G38" s="125" t="n"/>
      <c r="H38" s="125" t="n"/>
      <c r="I38" s="128">
        <f>ROUND(IFERROR($D38*$G38*(1-$H38),0),3)</f>
        <v/>
      </c>
      <c r="J38" s="128">
        <f>ROUND(IFERROR($E38*$G38*(1-$H38),0),3)</f>
        <v/>
      </c>
      <c r="K38" s="128">
        <f>ROUND(IFERROR($F38*$G38*(1-$H38),0),3)</f>
        <v/>
      </c>
      <c r="L38" s="127" t="n"/>
    </row>
    <row r="39" ht="18" customHeight="1" s="95">
      <c r="A39" s="139" t="inlineStr">
        <is>
          <t>S1</t>
        </is>
      </c>
      <c r="B39" s="122" t="n">
        <v>6</v>
      </c>
      <c r="C39" s="121" t="inlineStr">
        <is>
          <t>6. Stabilization, data verification, backlog</t>
        </is>
      </c>
      <c r="D39" s="124" t="n"/>
      <c r="E39" s="124" t="n"/>
      <c r="F39" s="124" t="n"/>
      <c r="G39" s="125" t="n"/>
      <c r="H39" s="125" t="n"/>
      <c r="I39" s="128">
        <f>ROUND(IFERROR($D39*$G39*(1-$H39),0),3)</f>
        <v/>
      </c>
      <c r="J39" s="128">
        <f>ROUND(IFERROR($E39*$G39*(1-$H39),0),3)</f>
        <v/>
      </c>
      <c r="K39" s="128">
        <f>ROUND(IFERROR($F39*$G39*(1-$H39),0),3)</f>
        <v/>
      </c>
      <c r="L39" s="127" t="n"/>
    </row>
    <row r="40" ht="18" customHeight="1" s="95">
      <c r="A40" s="139" t="inlineStr">
        <is>
          <t>S1</t>
        </is>
      </c>
      <c r="B40" s="122" t="n">
        <v>7</v>
      </c>
      <c r="C40" s="121" t="inlineStr">
        <is>
          <t>7. Return to normal performance</t>
        </is>
      </c>
      <c r="D40" s="124" t="n"/>
      <c r="E40" s="124" t="n"/>
      <c r="F40" s="124" t="n"/>
      <c r="G40" s="125" t="n"/>
      <c r="H40" s="125" t="n"/>
      <c r="I40" s="128">
        <f>ROUND(IFERROR($D40*$G40*(1-$H40),0),3)</f>
        <v/>
      </c>
      <c r="J40" s="128">
        <f>ROUND(IFERROR($E40*$G40*(1-$H40),0),3)</f>
        <v/>
      </c>
      <c r="K40" s="128">
        <f>ROUND(IFERROR($F40*$G40*(1-$H40),0),3)</f>
        <v/>
      </c>
      <c r="L40" s="127" t="n"/>
    </row>
    <row r="41" ht="18" customHeight="1" s="95">
      <c r="A41" s="147" t="inlineStr">
        <is>
          <t>S2</t>
        </is>
      </c>
      <c r="B41" s="148" t="n">
        <v>1</v>
      </c>
      <c r="C41" s="149" t="inlineStr">
        <is>
          <t>1. Detection and confirmation</t>
        </is>
      </c>
      <c r="D41" s="150" t="n"/>
      <c r="E41" s="150" t="n"/>
      <c r="F41" s="150" t="n"/>
      <c r="G41" s="151" t="n"/>
      <c r="H41" s="151" t="n"/>
      <c r="I41" s="152">
        <f>ROUND(IFERROR($D41*$G41*(1-$H41),0),3)</f>
        <v/>
      </c>
      <c r="J41" s="152">
        <f>ROUND(IFERROR($E41*$G41*(1-$H41),0),3)</f>
        <v/>
      </c>
      <c r="K41" s="152">
        <f>ROUND(IFERROR($F41*$G41*(1-$H41),0),3)</f>
        <v/>
      </c>
      <c r="L41" s="153" t="n"/>
    </row>
    <row r="42" ht="18" customHeight="1" s="95">
      <c r="A42" s="139" t="inlineStr">
        <is>
          <t>S2</t>
        </is>
      </c>
      <c r="B42" s="122" t="n">
        <v>2</v>
      </c>
      <c r="C42" s="121" t="inlineStr">
        <is>
          <t>2. Full downtime</t>
        </is>
      </c>
      <c r="D42" s="124" t="n"/>
      <c r="E42" s="124" t="n"/>
      <c r="F42" s="124" t="n"/>
      <c r="G42" s="125" t="n"/>
      <c r="H42" s="125" t="n"/>
      <c r="I42" s="128">
        <f>ROUND(IFERROR($D42*$G42*(1-$H42),0),3)</f>
        <v/>
      </c>
      <c r="J42" s="128">
        <f>ROUND(IFERROR($E42*$G42*(1-$H42),0),3)</f>
        <v/>
      </c>
      <c r="K42" s="128">
        <f>ROUND(IFERROR($F42*$G42*(1-$H42),0),3)</f>
        <v/>
      </c>
      <c r="L42" s="127" t="n"/>
    </row>
    <row r="43" ht="18" customHeight="1" s="95">
      <c r="A43" s="139" t="inlineStr">
        <is>
          <t>S2</t>
        </is>
      </c>
      <c r="B43" s="122" t="n">
        <v>3</v>
      </c>
      <c r="C43" s="121" t="inlineStr">
        <is>
          <t>3. Bypass/emergency operation</t>
        </is>
      </c>
      <c r="D43" s="124" t="n"/>
      <c r="E43" s="124" t="n"/>
      <c r="F43" s="124" t="n"/>
      <c r="G43" s="125" t="n"/>
      <c r="H43" s="125" t="n"/>
      <c r="I43" s="128">
        <f>ROUND(IFERROR($D43*$G43*(1-$H43),0),3)</f>
        <v/>
      </c>
      <c r="J43" s="128">
        <f>ROUND(IFERROR($E43*$G43*(1-$H43),0),3)</f>
        <v/>
      </c>
      <c r="K43" s="128">
        <f>ROUND(IFERROR($F43*$G43*(1-$H43),0),3)</f>
        <v/>
      </c>
      <c r="L43" s="127" t="n"/>
    </row>
    <row r="44" ht="18" customHeight="1" s="95">
      <c r="A44" s="139" t="inlineStr">
        <is>
          <t>S2</t>
        </is>
      </c>
      <c r="B44" s="122" t="n">
        <v>4</v>
      </c>
      <c r="C44" s="121" t="inlineStr">
        <is>
          <t>4. Partial restoration</t>
        </is>
      </c>
      <c r="D44" s="124" t="n"/>
      <c r="E44" s="124" t="n"/>
      <c r="F44" s="124" t="n"/>
      <c r="G44" s="125" t="n"/>
      <c r="H44" s="125" t="n"/>
      <c r="I44" s="128">
        <f>ROUND(IFERROR($D44*$G44*(1-$H44),0),3)</f>
        <v/>
      </c>
      <c r="J44" s="128">
        <f>ROUND(IFERROR($E44*$G44*(1-$H44),0),3)</f>
        <v/>
      </c>
      <c r="K44" s="128">
        <f>ROUND(IFERROR($F44*$G44*(1-$H44),0),3)</f>
        <v/>
      </c>
      <c r="L44" s="127" t="n"/>
    </row>
    <row r="45" ht="18" customHeight="1" s="95">
      <c r="A45" s="139" t="inlineStr">
        <is>
          <t>S2</t>
        </is>
      </c>
      <c r="B45" s="122" t="n">
        <v>5</v>
      </c>
      <c r="C45" s="121" t="inlineStr">
        <is>
          <t>5. Full technical restoration</t>
        </is>
      </c>
      <c r="D45" s="124" t="n"/>
      <c r="E45" s="124" t="n"/>
      <c r="F45" s="124" t="n"/>
      <c r="G45" s="125" t="n"/>
      <c r="H45" s="125" t="n"/>
      <c r="I45" s="128">
        <f>ROUND(IFERROR($D45*$G45*(1-$H45),0),3)</f>
        <v/>
      </c>
      <c r="J45" s="128">
        <f>ROUND(IFERROR($E45*$G45*(1-$H45),0),3)</f>
        <v/>
      </c>
      <c r="K45" s="128">
        <f>ROUND(IFERROR($F45*$G45*(1-$H45),0),3)</f>
        <v/>
      </c>
      <c r="L45" s="127" t="n"/>
    </row>
    <row r="46" ht="18" customHeight="1" s="95">
      <c r="A46" s="139" t="inlineStr">
        <is>
          <t>S2</t>
        </is>
      </c>
      <c r="B46" s="122" t="n">
        <v>6</v>
      </c>
      <c r="C46" s="121" t="inlineStr">
        <is>
          <t>6. Stabilization, data verification, backlog</t>
        </is>
      </c>
      <c r="D46" s="124" t="n"/>
      <c r="E46" s="124" t="n"/>
      <c r="F46" s="124" t="n"/>
      <c r="G46" s="125" t="n"/>
      <c r="H46" s="125" t="n"/>
      <c r="I46" s="128">
        <f>ROUND(IFERROR($D46*$G46*(1-$H46),0),3)</f>
        <v/>
      </c>
      <c r="J46" s="128">
        <f>ROUND(IFERROR($E46*$G46*(1-$H46),0),3)</f>
        <v/>
      </c>
      <c r="K46" s="128">
        <f>ROUND(IFERROR($F46*$G46*(1-$H46),0),3)</f>
        <v/>
      </c>
      <c r="L46" s="127" t="n"/>
    </row>
    <row r="47" ht="18" customHeight="1" s="95">
      <c r="A47" s="139" t="inlineStr">
        <is>
          <t>S2</t>
        </is>
      </c>
      <c r="B47" s="122" t="n">
        <v>7</v>
      </c>
      <c r="C47" s="121" t="inlineStr">
        <is>
          <t>7. Return to normal performance</t>
        </is>
      </c>
      <c r="D47" s="124" t="n"/>
      <c r="E47" s="124" t="n"/>
      <c r="F47" s="124" t="n"/>
      <c r="G47" s="125" t="n"/>
      <c r="H47" s="125" t="n"/>
      <c r="I47" s="128">
        <f>ROUND(IFERROR($D47*$G47*(1-$H47),0),3)</f>
        <v/>
      </c>
      <c r="J47" s="128">
        <f>ROUND(IFERROR($E47*$G47*(1-$H47),0),3)</f>
        <v/>
      </c>
      <c r="K47" s="128">
        <f>ROUND(IFERROR($F47*$G47*(1-$H47),0),3)</f>
        <v/>
      </c>
      <c r="L47" s="127" t="n"/>
    </row>
    <row r="48" ht="18" customHeight="1" s="95">
      <c r="A48" s="147" t="inlineStr">
        <is>
          <t>S3</t>
        </is>
      </c>
      <c r="B48" s="148" t="n">
        <v>1</v>
      </c>
      <c r="C48" s="149" t="inlineStr">
        <is>
          <t>1. Detection and confirmation</t>
        </is>
      </c>
      <c r="D48" s="150" t="n"/>
      <c r="E48" s="150" t="n"/>
      <c r="F48" s="150" t="n"/>
      <c r="G48" s="151" t="n"/>
      <c r="H48" s="151" t="n"/>
      <c r="I48" s="152">
        <f>ROUND(IFERROR($D48*$G48*(1-$H48),0),3)</f>
        <v/>
      </c>
      <c r="J48" s="152">
        <f>ROUND(IFERROR($E48*$G48*(1-$H48),0),3)</f>
        <v/>
      </c>
      <c r="K48" s="152">
        <f>ROUND(IFERROR($F48*$G48*(1-$H48),0),3)</f>
        <v/>
      </c>
      <c r="L48" s="153" t="n"/>
    </row>
    <row r="49" ht="18" customHeight="1" s="95">
      <c r="A49" s="139" t="inlineStr">
        <is>
          <t>S3</t>
        </is>
      </c>
      <c r="B49" s="122" t="n">
        <v>2</v>
      </c>
      <c r="C49" s="121" t="inlineStr">
        <is>
          <t>2. Full downtime</t>
        </is>
      </c>
      <c r="D49" s="124" t="n"/>
      <c r="E49" s="124" t="n"/>
      <c r="F49" s="124" t="n"/>
      <c r="G49" s="125" t="n"/>
      <c r="H49" s="125" t="n"/>
      <c r="I49" s="128">
        <f>ROUND(IFERROR($D49*$G49*(1-$H49),0),3)</f>
        <v/>
      </c>
      <c r="J49" s="128">
        <f>ROUND(IFERROR($E49*$G49*(1-$H49),0),3)</f>
        <v/>
      </c>
      <c r="K49" s="128">
        <f>ROUND(IFERROR($F49*$G49*(1-$H49),0),3)</f>
        <v/>
      </c>
      <c r="L49" s="127" t="n"/>
    </row>
    <row r="50" ht="18" customHeight="1" s="95">
      <c r="A50" s="139" t="inlineStr">
        <is>
          <t>S3</t>
        </is>
      </c>
      <c r="B50" s="122" t="n">
        <v>3</v>
      </c>
      <c r="C50" s="121" t="inlineStr">
        <is>
          <t>3. Bypass/emergency operation</t>
        </is>
      </c>
      <c r="D50" s="124" t="n"/>
      <c r="E50" s="124" t="n"/>
      <c r="F50" s="124" t="n"/>
      <c r="G50" s="125" t="n"/>
      <c r="H50" s="125" t="n"/>
      <c r="I50" s="128">
        <f>ROUND(IFERROR($D50*$G50*(1-$H50),0),3)</f>
        <v/>
      </c>
      <c r="J50" s="128">
        <f>ROUND(IFERROR($E50*$G50*(1-$H50),0),3)</f>
        <v/>
      </c>
      <c r="K50" s="128">
        <f>ROUND(IFERROR($F50*$G50*(1-$H50),0),3)</f>
        <v/>
      </c>
      <c r="L50" s="127" t="n"/>
    </row>
    <row r="51" ht="18" customHeight="1" s="95">
      <c r="A51" s="139" t="inlineStr">
        <is>
          <t>S3</t>
        </is>
      </c>
      <c r="B51" s="122" t="n">
        <v>4</v>
      </c>
      <c r="C51" s="121" t="inlineStr">
        <is>
          <t>4. Partial restoration</t>
        </is>
      </c>
      <c r="D51" s="124" t="n"/>
      <c r="E51" s="124" t="n"/>
      <c r="F51" s="124" t="n"/>
      <c r="G51" s="125" t="n"/>
      <c r="H51" s="125" t="n"/>
      <c r="I51" s="128">
        <f>ROUND(IFERROR($D51*$G51*(1-$H51),0),3)</f>
        <v/>
      </c>
      <c r="J51" s="128">
        <f>ROUND(IFERROR($E51*$G51*(1-$H51),0),3)</f>
        <v/>
      </c>
      <c r="K51" s="128">
        <f>ROUND(IFERROR($F51*$G51*(1-$H51),0),3)</f>
        <v/>
      </c>
      <c r="L51" s="127" t="n"/>
    </row>
    <row r="52" ht="18" customHeight="1" s="95">
      <c r="A52" s="139" t="inlineStr">
        <is>
          <t>S3</t>
        </is>
      </c>
      <c r="B52" s="122" t="n">
        <v>5</v>
      </c>
      <c r="C52" s="121" t="inlineStr">
        <is>
          <t>5. Full technical restoration</t>
        </is>
      </c>
      <c r="D52" s="124" t="n"/>
      <c r="E52" s="124" t="n"/>
      <c r="F52" s="124" t="n"/>
      <c r="G52" s="125" t="n"/>
      <c r="H52" s="125" t="n"/>
      <c r="I52" s="128">
        <f>ROUND(IFERROR($D52*$G52*(1-$H52),0),3)</f>
        <v/>
      </c>
      <c r="J52" s="128">
        <f>ROUND(IFERROR($E52*$G52*(1-$H52),0),3)</f>
        <v/>
      </c>
      <c r="K52" s="128">
        <f>ROUND(IFERROR($F52*$G52*(1-$H52),0),3)</f>
        <v/>
      </c>
      <c r="L52" s="127" t="n"/>
    </row>
    <row r="53" ht="18" customHeight="1" s="95">
      <c r="A53" s="139" t="inlineStr">
        <is>
          <t>S3</t>
        </is>
      </c>
      <c r="B53" s="122" t="n">
        <v>6</v>
      </c>
      <c r="C53" s="121" t="inlineStr">
        <is>
          <t>6. Stabilization, data verification, backlog</t>
        </is>
      </c>
      <c r="D53" s="124" t="n"/>
      <c r="E53" s="124" t="n"/>
      <c r="F53" s="124" t="n"/>
      <c r="G53" s="125" t="n"/>
      <c r="H53" s="125" t="n"/>
      <c r="I53" s="128">
        <f>ROUND(IFERROR($D53*$G53*(1-$H53),0),3)</f>
        <v/>
      </c>
      <c r="J53" s="128">
        <f>ROUND(IFERROR($E53*$G53*(1-$H53),0),3)</f>
        <v/>
      </c>
      <c r="K53" s="128">
        <f>ROUND(IFERROR($F53*$G53*(1-$H53),0),3)</f>
        <v/>
      </c>
      <c r="L53" s="127" t="n"/>
    </row>
    <row r="54" ht="18" customHeight="1" s="95">
      <c r="A54" s="139" t="inlineStr">
        <is>
          <t>S3</t>
        </is>
      </c>
      <c r="B54" s="122" t="n">
        <v>7</v>
      </c>
      <c r="C54" s="121" t="inlineStr">
        <is>
          <t>7. Return to normal performance</t>
        </is>
      </c>
      <c r="D54" s="124" t="n"/>
      <c r="E54" s="124" t="n"/>
      <c r="F54" s="124" t="n"/>
      <c r="G54" s="125" t="n"/>
      <c r="H54" s="125" t="n"/>
      <c r="I54" s="128">
        <f>ROUND(IFERROR($D54*$G54*(1-$H54),0),3)</f>
        <v/>
      </c>
      <c r="J54" s="128">
        <f>ROUND(IFERROR($E54*$G54*(1-$H54),0),3)</f>
        <v/>
      </c>
      <c r="K54" s="128">
        <f>ROUND(IFERROR($F54*$G54*(1-$H54),0),3)</f>
        <v/>
      </c>
      <c r="L54" s="127" t="n"/>
    </row>
    <row r="55" ht="18" customHeight="1" s="95">
      <c r="A55" s="147" t="inlineStr">
        <is>
          <t>S4</t>
        </is>
      </c>
      <c r="B55" s="148" t="n">
        <v>1</v>
      </c>
      <c r="C55" s="149" t="inlineStr">
        <is>
          <t>1. Detection and confirmation</t>
        </is>
      </c>
      <c r="D55" s="150" t="n"/>
      <c r="E55" s="150" t="n"/>
      <c r="F55" s="150" t="n"/>
      <c r="G55" s="151" t="n"/>
      <c r="H55" s="151" t="n"/>
      <c r="I55" s="152">
        <f>ROUND(IFERROR($D55*$G55*(1-$H55),0),3)</f>
        <v/>
      </c>
      <c r="J55" s="152">
        <f>ROUND(IFERROR($E55*$G55*(1-$H55),0),3)</f>
        <v/>
      </c>
      <c r="K55" s="152">
        <f>ROUND(IFERROR($F55*$G55*(1-$H55),0),3)</f>
        <v/>
      </c>
      <c r="L55" s="153" t="n"/>
    </row>
    <row r="56" ht="18" customHeight="1" s="95">
      <c r="A56" s="139" t="inlineStr">
        <is>
          <t>S4</t>
        </is>
      </c>
      <c r="B56" s="122" t="n">
        <v>2</v>
      </c>
      <c r="C56" s="121" t="inlineStr">
        <is>
          <t>2. Full downtime</t>
        </is>
      </c>
      <c r="D56" s="124" t="n"/>
      <c r="E56" s="124" t="n"/>
      <c r="F56" s="124" t="n"/>
      <c r="G56" s="125" t="n"/>
      <c r="H56" s="125" t="n"/>
      <c r="I56" s="128">
        <f>ROUND(IFERROR($D56*$G56*(1-$H56),0),3)</f>
        <v/>
      </c>
      <c r="J56" s="128">
        <f>ROUND(IFERROR($E56*$G56*(1-$H56),0),3)</f>
        <v/>
      </c>
      <c r="K56" s="128">
        <f>ROUND(IFERROR($F56*$G56*(1-$H56),0),3)</f>
        <v/>
      </c>
      <c r="L56" s="127" t="n"/>
    </row>
    <row r="57" ht="18" customHeight="1" s="95">
      <c r="A57" s="139" t="inlineStr">
        <is>
          <t>S4</t>
        </is>
      </c>
      <c r="B57" s="122" t="n">
        <v>3</v>
      </c>
      <c r="C57" s="121" t="inlineStr">
        <is>
          <t>3. Bypass/emergency operation</t>
        </is>
      </c>
      <c r="D57" s="124" t="n"/>
      <c r="E57" s="124" t="n"/>
      <c r="F57" s="124" t="n"/>
      <c r="G57" s="125" t="n"/>
      <c r="H57" s="125" t="n"/>
      <c r="I57" s="128">
        <f>ROUND(IFERROR($D57*$G57*(1-$H57),0),3)</f>
        <v/>
      </c>
      <c r="J57" s="128">
        <f>ROUND(IFERROR($E57*$G57*(1-$H57),0),3)</f>
        <v/>
      </c>
      <c r="K57" s="128">
        <f>ROUND(IFERROR($F57*$G57*(1-$H57),0),3)</f>
        <v/>
      </c>
      <c r="L57" s="127" t="n"/>
    </row>
    <row r="58" ht="18" customHeight="1" s="95">
      <c r="A58" s="139" t="inlineStr">
        <is>
          <t>S4</t>
        </is>
      </c>
      <c r="B58" s="122" t="n">
        <v>4</v>
      </c>
      <c r="C58" s="121" t="inlineStr">
        <is>
          <t>4. Partial restoration</t>
        </is>
      </c>
      <c r="D58" s="124" t="n"/>
      <c r="E58" s="124" t="n"/>
      <c r="F58" s="124" t="n"/>
      <c r="G58" s="125" t="n"/>
      <c r="H58" s="125" t="n"/>
      <c r="I58" s="128">
        <f>ROUND(IFERROR($D58*$G58*(1-$H58),0),3)</f>
        <v/>
      </c>
      <c r="J58" s="128">
        <f>ROUND(IFERROR($E58*$G58*(1-$H58),0),3)</f>
        <v/>
      </c>
      <c r="K58" s="128">
        <f>ROUND(IFERROR($F58*$G58*(1-$H58),0),3)</f>
        <v/>
      </c>
      <c r="L58" s="127" t="n"/>
    </row>
    <row r="59" ht="18" customHeight="1" s="95">
      <c r="A59" s="139" t="inlineStr">
        <is>
          <t>S4</t>
        </is>
      </c>
      <c r="B59" s="122" t="n">
        <v>5</v>
      </c>
      <c r="C59" s="121" t="inlineStr">
        <is>
          <t>5. Full technical restoration</t>
        </is>
      </c>
      <c r="D59" s="124" t="n"/>
      <c r="E59" s="124" t="n"/>
      <c r="F59" s="124" t="n"/>
      <c r="G59" s="125" t="n"/>
      <c r="H59" s="125" t="n"/>
      <c r="I59" s="128">
        <f>ROUND(IFERROR($D59*$G59*(1-$H59),0),3)</f>
        <v/>
      </c>
      <c r="J59" s="128">
        <f>ROUND(IFERROR($E59*$G59*(1-$H59),0),3)</f>
        <v/>
      </c>
      <c r="K59" s="128">
        <f>ROUND(IFERROR($F59*$G59*(1-$H59),0),3)</f>
        <v/>
      </c>
      <c r="L59" s="127" t="n"/>
    </row>
    <row r="60" ht="18" customHeight="1" s="95">
      <c r="A60" s="139" t="inlineStr">
        <is>
          <t>S4</t>
        </is>
      </c>
      <c r="B60" s="122" t="n">
        <v>6</v>
      </c>
      <c r="C60" s="121" t="inlineStr">
        <is>
          <t>6. Stabilization, data verification, backlog</t>
        </is>
      </c>
      <c r="D60" s="124" t="n"/>
      <c r="E60" s="124" t="n"/>
      <c r="F60" s="124" t="n"/>
      <c r="G60" s="125" t="n"/>
      <c r="H60" s="125" t="n"/>
      <c r="I60" s="128">
        <f>ROUND(IFERROR($D60*$G60*(1-$H60),0),3)</f>
        <v/>
      </c>
      <c r="J60" s="128">
        <f>ROUND(IFERROR($E60*$G60*(1-$H60),0),3)</f>
        <v/>
      </c>
      <c r="K60" s="128">
        <f>ROUND(IFERROR($F60*$G60*(1-$H60),0),3)</f>
        <v/>
      </c>
      <c r="L60" s="127" t="n"/>
    </row>
    <row r="61" ht="18" customHeight="1" s="95">
      <c r="A61" s="139" t="inlineStr">
        <is>
          <t>S4</t>
        </is>
      </c>
      <c r="B61" s="122" t="n">
        <v>7</v>
      </c>
      <c r="C61" s="121" t="inlineStr">
        <is>
          <t>7. Return to normal performance</t>
        </is>
      </c>
      <c r="D61" s="124" t="n"/>
      <c r="E61" s="124" t="n"/>
      <c r="F61" s="124" t="n"/>
      <c r="G61" s="125" t="n"/>
      <c r="H61" s="125" t="n"/>
      <c r="I61" s="128">
        <f>ROUND(IFERROR($D61*$G61*(1-$H61),0),3)</f>
        <v/>
      </c>
      <c r="J61" s="128">
        <f>ROUND(IFERROR($E61*$G61*(1-$H61),0),3)</f>
        <v/>
      </c>
      <c r="K61" s="128">
        <f>ROUND(IFERROR($F61*$G61*(1-$H61),0),3)</f>
        <v/>
      </c>
      <c r="L61" s="127" t="n"/>
    </row>
    <row r="62" ht="18" customHeight="1" s="95">
      <c r="A62" s="147" t="inlineStr">
        <is>
          <t>S5</t>
        </is>
      </c>
      <c r="B62" s="148" t="n">
        <v>1</v>
      </c>
      <c r="C62" s="149" t="inlineStr">
        <is>
          <t>1. Detection and confirmation</t>
        </is>
      </c>
      <c r="D62" s="150" t="n"/>
      <c r="E62" s="150" t="n"/>
      <c r="F62" s="150" t="n"/>
      <c r="G62" s="151" t="n"/>
      <c r="H62" s="151" t="n"/>
      <c r="I62" s="152">
        <f>ROUND(IFERROR($D62*$G62*(1-$H62),0),3)</f>
        <v/>
      </c>
      <c r="J62" s="152">
        <f>ROUND(IFERROR($E62*$G62*(1-$H62),0),3)</f>
        <v/>
      </c>
      <c r="K62" s="152">
        <f>ROUND(IFERROR($F62*$G62*(1-$H62),0),3)</f>
        <v/>
      </c>
      <c r="L62" s="153" t="n"/>
    </row>
    <row r="63" ht="18" customHeight="1" s="95">
      <c r="A63" s="139" t="inlineStr">
        <is>
          <t>S5</t>
        </is>
      </c>
      <c r="B63" s="122" t="n">
        <v>2</v>
      </c>
      <c r="C63" s="121" t="inlineStr">
        <is>
          <t>2. Full downtime</t>
        </is>
      </c>
      <c r="D63" s="124" t="n"/>
      <c r="E63" s="124" t="n"/>
      <c r="F63" s="124" t="n"/>
      <c r="G63" s="125" t="n"/>
      <c r="H63" s="125" t="n"/>
      <c r="I63" s="128">
        <f>ROUND(IFERROR($D63*$G63*(1-$H63),0),3)</f>
        <v/>
      </c>
      <c r="J63" s="128">
        <f>ROUND(IFERROR($E63*$G63*(1-$H63),0),3)</f>
        <v/>
      </c>
      <c r="K63" s="128">
        <f>ROUND(IFERROR($F63*$G63*(1-$H63),0),3)</f>
        <v/>
      </c>
      <c r="L63" s="127" t="n"/>
    </row>
    <row r="64" ht="18" customHeight="1" s="95">
      <c r="A64" s="139" t="inlineStr">
        <is>
          <t>S5</t>
        </is>
      </c>
      <c r="B64" s="122" t="n">
        <v>3</v>
      </c>
      <c r="C64" s="121" t="inlineStr">
        <is>
          <t>3. Bypass/emergency operation</t>
        </is>
      </c>
      <c r="D64" s="124" t="n"/>
      <c r="E64" s="124" t="n"/>
      <c r="F64" s="124" t="n"/>
      <c r="G64" s="125" t="n"/>
      <c r="H64" s="125" t="n"/>
      <c r="I64" s="128">
        <f>ROUND(IFERROR($D64*$G64*(1-$H64),0),3)</f>
        <v/>
      </c>
      <c r="J64" s="128">
        <f>ROUND(IFERROR($E64*$G64*(1-$H64),0),3)</f>
        <v/>
      </c>
      <c r="K64" s="128">
        <f>ROUND(IFERROR($F64*$G64*(1-$H64),0),3)</f>
        <v/>
      </c>
      <c r="L64" s="127" t="n"/>
    </row>
    <row r="65" ht="18" customHeight="1" s="95">
      <c r="A65" s="139" t="inlineStr">
        <is>
          <t>S5</t>
        </is>
      </c>
      <c r="B65" s="122" t="n">
        <v>4</v>
      </c>
      <c r="C65" s="121" t="inlineStr">
        <is>
          <t>4. Partial restoration</t>
        </is>
      </c>
      <c r="D65" s="124" t="n"/>
      <c r="E65" s="124" t="n"/>
      <c r="F65" s="124" t="n"/>
      <c r="G65" s="125" t="n"/>
      <c r="H65" s="125" t="n"/>
      <c r="I65" s="128">
        <f>ROUND(IFERROR($D65*$G65*(1-$H65),0),3)</f>
        <v/>
      </c>
      <c r="J65" s="128">
        <f>ROUND(IFERROR($E65*$G65*(1-$H65),0),3)</f>
        <v/>
      </c>
      <c r="K65" s="128">
        <f>ROUND(IFERROR($F65*$G65*(1-$H65),0),3)</f>
        <v/>
      </c>
      <c r="L65" s="127" t="n"/>
    </row>
    <row r="66" ht="18" customHeight="1" s="95">
      <c r="A66" s="139" t="inlineStr">
        <is>
          <t>S5</t>
        </is>
      </c>
      <c r="B66" s="122" t="n">
        <v>5</v>
      </c>
      <c r="C66" s="121" t="inlineStr">
        <is>
          <t>5. Full technical restoration</t>
        </is>
      </c>
      <c r="D66" s="124" t="n"/>
      <c r="E66" s="124" t="n"/>
      <c r="F66" s="124" t="n"/>
      <c r="G66" s="125" t="n"/>
      <c r="H66" s="125" t="n"/>
      <c r="I66" s="128">
        <f>ROUND(IFERROR($D66*$G66*(1-$H66),0),3)</f>
        <v/>
      </c>
      <c r="J66" s="128">
        <f>ROUND(IFERROR($E66*$G66*(1-$H66),0),3)</f>
        <v/>
      </c>
      <c r="K66" s="128">
        <f>ROUND(IFERROR($F66*$G66*(1-$H66),0),3)</f>
        <v/>
      </c>
      <c r="L66" s="127" t="n"/>
    </row>
    <row r="67" ht="18" customHeight="1" s="95">
      <c r="A67" s="139" t="inlineStr">
        <is>
          <t>S5</t>
        </is>
      </c>
      <c r="B67" s="122" t="n">
        <v>6</v>
      </c>
      <c r="C67" s="121" t="inlineStr">
        <is>
          <t>6. Stabilization, data verification, backlog</t>
        </is>
      </c>
      <c r="D67" s="124" t="n"/>
      <c r="E67" s="124" t="n"/>
      <c r="F67" s="124" t="n"/>
      <c r="G67" s="125" t="n"/>
      <c r="H67" s="125" t="n"/>
      <c r="I67" s="128">
        <f>ROUND(IFERROR($D67*$G67*(1-$H67),0),3)</f>
        <v/>
      </c>
      <c r="J67" s="128">
        <f>ROUND(IFERROR($E67*$G67*(1-$H67),0),3)</f>
        <v/>
      </c>
      <c r="K67" s="128">
        <f>ROUND(IFERROR($F67*$G67*(1-$H67),0),3)</f>
        <v/>
      </c>
      <c r="L67" s="127" t="n"/>
    </row>
    <row r="68" ht="18" customHeight="1" s="95">
      <c r="A68" s="139" t="inlineStr">
        <is>
          <t>S5</t>
        </is>
      </c>
      <c r="B68" s="122" t="n">
        <v>7</v>
      </c>
      <c r="C68" s="121" t="inlineStr">
        <is>
          <t>7. Return to normal performance</t>
        </is>
      </c>
      <c r="D68" s="124" t="n"/>
      <c r="E68" s="124" t="n"/>
      <c r="F68" s="124" t="n"/>
      <c r="G68" s="125" t="n"/>
      <c r="H68" s="125" t="n"/>
      <c r="I68" s="128">
        <f>ROUND(IFERROR($D68*$G68*(1-$H68),0),3)</f>
        <v/>
      </c>
      <c r="J68" s="128">
        <f>ROUND(IFERROR($E68*$G68*(1-$H68),0),3)</f>
        <v/>
      </c>
      <c r="K68" s="128">
        <f>ROUND(IFERROR($F68*$G68*(1-$H68),0),3)</f>
        <v/>
      </c>
      <c r="L68" s="127" t="n"/>
    </row>
    <row r="69" ht="18" customHeight="1" s="95">
      <c r="A69" s="147" t="inlineStr">
        <is>
          <t>S6</t>
        </is>
      </c>
      <c r="B69" s="148" t="n">
        <v>1</v>
      </c>
      <c r="C69" s="149" t="inlineStr">
        <is>
          <t>1. Detection and confirmation</t>
        </is>
      </c>
      <c r="D69" s="150" t="n"/>
      <c r="E69" s="150" t="n"/>
      <c r="F69" s="150" t="n"/>
      <c r="G69" s="151" t="n"/>
      <c r="H69" s="151" t="n"/>
      <c r="I69" s="152">
        <f>ROUND(IFERROR($D69*$G69*(1-$H69),0),3)</f>
        <v/>
      </c>
      <c r="J69" s="152">
        <f>ROUND(IFERROR($E69*$G69*(1-$H69),0),3)</f>
        <v/>
      </c>
      <c r="K69" s="152">
        <f>ROUND(IFERROR($F69*$G69*(1-$H69),0),3)</f>
        <v/>
      </c>
      <c r="L69" s="153" t="n"/>
    </row>
    <row r="70" ht="18" customHeight="1" s="95">
      <c r="A70" s="139" t="inlineStr">
        <is>
          <t>S6</t>
        </is>
      </c>
      <c r="B70" s="122" t="n">
        <v>2</v>
      </c>
      <c r="C70" s="121" t="inlineStr">
        <is>
          <t>2. Full downtime</t>
        </is>
      </c>
      <c r="D70" s="124" t="n"/>
      <c r="E70" s="124" t="n"/>
      <c r="F70" s="124" t="n"/>
      <c r="G70" s="125" t="n"/>
      <c r="H70" s="125" t="n"/>
      <c r="I70" s="128">
        <f>ROUND(IFERROR($D70*$G70*(1-$H70),0),3)</f>
        <v/>
      </c>
      <c r="J70" s="128">
        <f>ROUND(IFERROR($E70*$G70*(1-$H70),0),3)</f>
        <v/>
      </c>
      <c r="K70" s="128">
        <f>ROUND(IFERROR($F70*$G70*(1-$H70),0),3)</f>
        <v/>
      </c>
      <c r="L70" s="127" t="n"/>
    </row>
    <row r="71" ht="18" customHeight="1" s="95">
      <c r="A71" s="139" t="inlineStr">
        <is>
          <t>S6</t>
        </is>
      </c>
      <c r="B71" s="122" t="n">
        <v>3</v>
      </c>
      <c r="C71" s="121" t="inlineStr">
        <is>
          <t>3. Bypass/emergency operation</t>
        </is>
      </c>
      <c r="D71" s="124" t="n"/>
      <c r="E71" s="124" t="n"/>
      <c r="F71" s="124" t="n"/>
      <c r="G71" s="125" t="n"/>
      <c r="H71" s="125" t="n"/>
      <c r="I71" s="128">
        <f>ROUND(IFERROR($D71*$G71*(1-$H71),0),3)</f>
        <v/>
      </c>
      <c r="J71" s="128">
        <f>ROUND(IFERROR($E71*$G71*(1-$H71),0),3)</f>
        <v/>
      </c>
      <c r="K71" s="128">
        <f>ROUND(IFERROR($F71*$G71*(1-$H71),0),3)</f>
        <v/>
      </c>
      <c r="L71" s="127" t="n"/>
    </row>
    <row r="72" ht="18" customHeight="1" s="95">
      <c r="A72" s="139" t="inlineStr">
        <is>
          <t>S6</t>
        </is>
      </c>
      <c r="B72" s="122" t="n">
        <v>4</v>
      </c>
      <c r="C72" s="121" t="inlineStr">
        <is>
          <t>4. Partial restoration</t>
        </is>
      </c>
      <c r="D72" s="124" t="n"/>
      <c r="E72" s="124" t="n"/>
      <c r="F72" s="124" t="n"/>
      <c r="G72" s="125" t="n"/>
      <c r="H72" s="125" t="n"/>
      <c r="I72" s="128">
        <f>ROUND(IFERROR($D72*$G72*(1-$H72),0),3)</f>
        <v/>
      </c>
      <c r="J72" s="128">
        <f>ROUND(IFERROR($E72*$G72*(1-$H72),0),3)</f>
        <v/>
      </c>
      <c r="K72" s="128">
        <f>ROUND(IFERROR($F72*$G72*(1-$H72),0),3)</f>
        <v/>
      </c>
      <c r="L72" s="127" t="n"/>
    </row>
    <row r="73" ht="18" customHeight="1" s="95">
      <c r="A73" s="139" t="inlineStr">
        <is>
          <t>S6</t>
        </is>
      </c>
      <c r="B73" s="122" t="n">
        <v>5</v>
      </c>
      <c r="C73" s="121" t="inlineStr">
        <is>
          <t>5. Full technical restoration</t>
        </is>
      </c>
      <c r="D73" s="124" t="n"/>
      <c r="E73" s="124" t="n"/>
      <c r="F73" s="124" t="n"/>
      <c r="G73" s="125" t="n"/>
      <c r="H73" s="125" t="n"/>
      <c r="I73" s="128">
        <f>ROUND(IFERROR($D73*$G73*(1-$H73),0),3)</f>
        <v/>
      </c>
      <c r="J73" s="128">
        <f>ROUND(IFERROR($E73*$G73*(1-$H73),0),3)</f>
        <v/>
      </c>
      <c r="K73" s="128">
        <f>ROUND(IFERROR($F73*$G73*(1-$H73),0),3)</f>
        <v/>
      </c>
      <c r="L73" s="127" t="n"/>
    </row>
    <row r="74" ht="18" customHeight="1" s="95">
      <c r="A74" s="139" t="inlineStr">
        <is>
          <t>S6</t>
        </is>
      </c>
      <c r="B74" s="122" t="n">
        <v>6</v>
      </c>
      <c r="C74" s="121" t="inlineStr">
        <is>
          <t>6. Stabilization, data verification, backlog</t>
        </is>
      </c>
      <c r="D74" s="124" t="n"/>
      <c r="E74" s="124" t="n"/>
      <c r="F74" s="124" t="n"/>
      <c r="G74" s="125" t="n"/>
      <c r="H74" s="125" t="n"/>
      <c r="I74" s="128">
        <f>ROUND(IFERROR($D74*$G74*(1-$H74),0),3)</f>
        <v/>
      </c>
      <c r="J74" s="128">
        <f>ROUND(IFERROR($E74*$G74*(1-$H74),0),3)</f>
        <v/>
      </c>
      <c r="K74" s="128">
        <f>ROUND(IFERROR($F74*$G74*(1-$H74),0),3)</f>
        <v/>
      </c>
      <c r="L74" s="127" t="n"/>
    </row>
    <row r="75" ht="18" customHeight="1" s="95">
      <c r="A75" s="139" t="inlineStr">
        <is>
          <t>S6</t>
        </is>
      </c>
      <c r="B75" s="122" t="n">
        <v>7</v>
      </c>
      <c r="C75" s="121" t="inlineStr">
        <is>
          <t>7. Return to normal performance</t>
        </is>
      </c>
      <c r="D75" s="124" t="n"/>
      <c r="E75" s="124" t="n"/>
      <c r="F75" s="124" t="n"/>
      <c r="G75" s="125" t="n"/>
      <c r="H75" s="125" t="n"/>
      <c r="I75" s="128">
        <f>ROUND(IFERROR($D75*$G75*(1-$H75),0),3)</f>
        <v/>
      </c>
      <c r="J75" s="128">
        <f>ROUND(IFERROR($E75*$G75*(1-$H75),0),3)</f>
        <v/>
      </c>
      <c r="K75" s="128">
        <f>ROUND(IFERROR($F75*$G75*(1-$H75),0),3)</f>
        <v/>
      </c>
      <c r="L75" s="127" t="n"/>
    </row>
    <row r="76" ht="18" customHeight="1" s="95">
      <c r="A76" s="147" t="inlineStr">
        <is>
          <t>S7</t>
        </is>
      </c>
      <c r="B76" s="148" t="n">
        <v>1</v>
      </c>
      <c r="C76" s="149" t="inlineStr">
        <is>
          <t>1. Detection and confirmation</t>
        </is>
      </c>
      <c r="D76" s="150" t="n"/>
      <c r="E76" s="150" t="n"/>
      <c r="F76" s="150" t="n"/>
      <c r="G76" s="151" t="n"/>
      <c r="H76" s="151" t="n"/>
      <c r="I76" s="152">
        <f>ROUND(IFERROR($D76*$G76*(1-$H76),0),3)</f>
        <v/>
      </c>
      <c r="J76" s="152">
        <f>ROUND(IFERROR($E76*$G76*(1-$H76),0),3)</f>
        <v/>
      </c>
      <c r="K76" s="152">
        <f>ROUND(IFERROR($F76*$G76*(1-$H76),0),3)</f>
        <v/>
      </c>
      <c r="L76" s="153" t="n"/>
    </row>
    <row r="77" ht="18" customHeight="1" s="95">
      <c r="A77" s="139" t="inlineStr">
        <is>
          <t>S7</t>
        </is>
      </c>
      <c r="B77" s="122" t="n">
        <v>2</v>
      </c>
      <c r="C77" s="121" t="inlineStr">
        <is>
          <t>2. Full downtime</t>
        </is>
      </c>
      <c r="D77" s="124" t="n"/>
      <c r="E77" s="124" t="n"/>
      <c r="F77" s="124" t="n"/>
      <c r="G77" s="125" t="n"/>
      <c r="H77" s="125" t="n"/>
      <c r="I77" s="128">
        <f>ROUND(IFERROR($D77*$G77*(1-$H77),0),3)</f>
        <v/>
      </c>
      <c r="J77" s="128">
        <f>ROUND(IFERROR($E77*$G77*(1-$H77),0),3)</f>
        <v/>
      </c>
      <c r="K77" s="128">
        <f>ROUND(IFERROR($F77*$G77*(1-$H77),0),3)</f>
        <v/>
      </c>
      <c r="L77" s="127" t="n"/>
    </row>
    <row r="78" ht="18" customHeight="1" s="95">
      <c r="A78" s="139" t="inlineStr">
        <is>
          <t>S7</t>
        </is>
      </c>
      <c r="B78" s="122" t="n">
        <v>3</v>
      </c>
      <c r="C78" s="121" t="inlineStr">
        <is>
          <t>3. Bypass/emergency operation</t>
        </is>
      </c>
      <c r="D78" s="124" t="n"/>
      <c r="E78" s="124" t="n"/>
      <c r="F78" s="124" t="n"/>
      <c r="G78" s="125" t="n"/>
      <c r="H78" s="125" t="n"/>
      <c r="I78" s="128">
        <f>ROUND(IFERROR($D78*$G78*(1-$H78),0),3)</f>
        <v/>
      </c>
      <c r="J78" s="128">
        <f>ROUND(IFERROR($E78*$G78*(1-$H78),0),3)</f>
        <v/>
      </c>
      <c r="K78" s="128">
        <f>ROUND(IFERROR($F78*$G78*(1-$H78),0),3)</f>
        <v/>
      </c>
      <c r="L78" s="127" t="n"/>
    </row>
    <row r="79" ht="18" customHeight="1" s="95">
      <c r="A79" s="139" t="inlineStr">
        <is>
          <t>S7</t>
        </is>
      </c>
      <c r="B79" s="122" t="n">
        <v>4</v>
      </c>
      <c r="C79" s="121" t="inlineStr">
        <is>
          <t>4. Partial restoration</t>
        </is>
      </c>
      <c r="D79" s="124" t="n"/>
      <c r="E79" s="124" t="n"/>
      <c r="F79" s="124" t="n"/>
      <c r="G79" s="125" t="n"/>
      <c r="H79" s="125" t="n"/>
      <c r="I79" s="128">
        <f>ROUND(IFERROR($D79*$G79*(1-$H79),0),3)</f>
        <v/>
      </c>
      <c r="J79" s="128">
        <f>ROUND(IFERROR($E79*$G79*(1-$H79),0),3)</f>
        <v/>
      </c>
      <c r="K79" s="128">
        <f>ROUND(IFERROR($F79*$G79*(1-$H79),0),3)</f>
        <v/>
      </c>
      <c r="L79" s="127" t="n"/>
    </row>
    <row r="80" ht="18" customHeight="1" s="95">
      <c r="A80" s="139" t="inlineStr">
        <is>
          <t>S7</t>
        </is>
      </c>
      <c r="B80" s="122" t="n">
        <v>5</v>
      </c>
      <c r="C80" s="121" t="inlineStr">
        <is>
          <t>5. Full technical restoration</t>
        </is>
      </c>
      <c r="D80" s="124" t="n"/>
      <c r="E80" s="124" t="n"/>
      <c r="F80" s="124" t="n"/>
      <c r="G80" s="125" t="n"/>
      <c r="H80" s="125" t="n"/>
      <c r="I80" s="128">
        <f>ROUND(IFERROR($D80*$G80*(1-$H80),0),3)</f>
        <v/>
      </c>
      <c r="J80" s="128">
        <f>ROUND(IFERROR($E80*$G80*(1-$H80),0),3)</f>
        <v/>
      </c>
      <c r="K80" s="128">
        <f>ROUND(IFERROR($F80*$G80*(1-$H80),0),3)</f>
        <v/>
      </c>
      <c r="L80" s="127" t="n"/>
    </row>
    <row r="81" ht="18" customHeight="1" s="95">
      <c r="A81" s="139" t="inlineStr">
        <is>
          <t>S7</t>
        </is>
      </c>
      <c r="B81" s="122" t="n">
        <v>6</v>
      </c>
      <c r="C81" s="121" t="inlineStr">
        <is>
          <t>6. Stabilization, data verification, backlog</t>
        </is>
      </c>
      <c r="D81" s="124" t="n"/>
      <c r="E81" s="124" t="n"/>
      <c r="F81" s="124" t="n"/>
      <c r="G81" s="125" t="n"/>
      <c r="H81" s="125" t="n"/>
      <c r="I81" s="128">
        <f>ROUND(IFERROR($D81*$G81*(1-$H81),0),3)</f>
        <v/>
      </c>
      <c r="J81" s="128">
        <f>ROUND(IFERROR($E81*$G81*(1-$H81),0),3)</f>
        <v/>
      </c>
      <c r="K81" s="128">
        <f>ROUND(IFERROR($F81*$G81*(1-$H81),0),3)</f>
        <v/>
      </c>
      <c r="L81" s="127" t="n"/>
    </row>
    <row r="82" ht="18" customHeight="1" s="95">
      <c r="A82" s="139" t="inlineStr">
        <is>
          <t>S7</t>
        </is>
      </c>
      <c r="B82" s="122" t="n">
        <v>7</v>
      </c>
      <c r="C82" s="121" t="inlineStr">
        <is>
          <t>7. Return to normal performance</t>
        </is>
      </c>
      <c r="D82" s="124" t="n"/>
      <c r="E82" s="124" t="n"/>
      <c r="F82" s="124" t="n"/>
      <c r="G82" s="125" t="n"/>
      <c r="H82" s="125" t="n"/>
      <c r="I82" s="128">
        <f>ROUND(IFERROR($D82*$G82*(1-$H82),0),3)</f>
        <v/>
      </c>
      <c r="J82" s="128">
        <f>ROUND(IFERROR($E82*$G82*(1-$H82),0),3)</f>
        <v/>
      </c>
      <c r="K82" s="128">
        <f>ROUND(IFERROR($F82*$G82*(1-$H82),0),3)</f>
        <v/>
      </c>
      <c r="L82" s="127" t="n"/>
    </row>
    <row r="83" ht="18" customHeight="1" s="95">
      <c r="A83" s="147" t="inlineStr">
        <is>
          <t>S8</t>
        </is>
      </c>
      <c r="B83" s="148" t="n">
        <v>1</v>
      </c>
      <c r="C83" s="149" t="inlineStr">
        <is>
          <t>1. Detection and confirmation</t>
        </is>
      </c>
      <c r="D83" s="150" t="n"/>
      <c r="E83" s="150" t="n"/>
      <c r="F83" s="150" t="n"/>
      <c r="G83" s="151" t="n"/>
      <c r="H83" s="151" t="n"/>
      <c r="I83" s="152">
        <f>ROUND(IFERROR($D83*$G83*(1-$H83),0),3)</f>
        <v/>
      </c>
      <c r="J83" s="152">
        <f>ROUND(IFERROR($E83*$G83*(1-$H83),0),3)</f>
        <v/>
      </c>
      <c r="K83" s="152">
        <f>ROUND(IFERROR($F83*$G83*(1-$H83),0),3)</f>
        <v/>
      </c>
      <c r="L83" s="153" t="n"/>
    </row>
    <row r="84" ht="18" customHeight="1" s="95">
      <c r="A84" s="139" t="inlineStr">
        <is>
          <t>S8</t>
        </is>
      </c>
      <c r="B84" s="122" t="n">
        <v>2</v>
      </c>
      <c r="C84" s="121" t="inlineStr">
        <is>
          <t>2. Full downtime</t>
        </is>
      </c>
      <c r="D84" s="124" t="n"/>
      <c r="E84" s="124" t="n"/>
      <c r="F84" s="124" t="n"/>
      <c r="G84" s="125" t="n"/>
      <c r="H84" s="125" t="n"/>
      <c r="I84" s="128">
        <f>ROUND(IFERROR($D84*$G84*(1-$H84),0),3)</f>
        <v/>
      </c>
      <c r="J84" s="128">
        <f>ROUND(IFERROR($E84*$G84*(1-$H84),0),3)</f>
        <v/>
      </c>
      <c r="K84" s="128">
        <f>ROUND(IFERROR($F84*$G84*(1-$H84),0),3)</f>
        <v/>
      </c>
      <c r="L84" s="127" t="n"/>
    </row>
    <row r="85" ht="18" customHeight="1" s="95">
      <c r="A85" s="139" t="inlineStr">
        <is>
          <t>S8</t>
        </is>
      </c>
      <c r="B85" s="122" t="n">
        <v>3</v>
      </c>
      <c r="C85" s="121" t="inlineStr">
        <is>
          <t>3. Bypass/emergency operation</t>
        </is>
      </c>
      <c r="D85" s="124" t="n"/>
      <c r="E85" s="124" t="n"/>
      <c r="F85" s="124" t="n"/>
      <c r="G85" s="125" t="n"/>
      <c r="H85" s="125" t="n"/>
      <c r="I85" s="128">
        <f>ROUND(IFERROR($D85*$G85*(1-$H85),0),3)</f>
        <v/>
      </c>
      <c r="J85" s="128">
        <f>ROUND(IFERROR($E85*$G85*(1-$H85),0),3)</f>
        <v/>
      </c>
      <c r="K85" s="128">
        <f>ROUND(IFERROR($F85*$G85*(1-$H85),0),3)</f>
        <v/>
      </c>
      <c r="L85" s="127" t="n"/>
    </row>
    <row r="86" ht="18" customHeight="1" s="95">
      <c r="A86" s="139" t="inlineStr">
        <is>
          <t>S8</t>
        </is>
      </c>
      <c r="B86" s="122" t="n">
        <v>4</v>
      </c>
      <c r="C86" s="121" t="inlineStr">
        <is>
          <t>4. Partial restoration</t>
        </is>
      </c>
      <c r="D86" s="124" t="n"/>
      <c r="E86" s="124" t="n"/>
      <c r="F86" s="124" t="n"/>
      <c r="G86" s="125" t="n"/>
      <c r="H86" s="125" t="n"/>
      <c r="I86" s="128">
        <f>ROUND(IFERROR($D86*$G86*(1-$H86),0),3)</f>
        <v/>
      </c>
      <c r="J86" s="128">
        <f>ROUND(IFERROR($E86*$G86*(1-$H86),0),3)</f>
        <v/>
      </c>
      <c r="K86" s="128">
        <f>ROUND(IFERROR($F86*$G86*(1-$H86),0),3)</f>
        <v/>
      </c>
      <c r="L86" s="127" t="n"/>
    </row>
    <row r="87" ht="18" customHeight="1" s="95">
      <c r="A87" s="139" t="inlineStr">
        <is>
          <t>S8</t>
        </is>
      </c>
      <c r="B87" s="122" t="n">
        <v>5</v>
      </c>
      <c r="C87" s="121" t="inlineStr">
        <is>
          <t>5. Full technical restoration</t>
        </is>
      </c>
      <c r="D87" s="124" t="n"/>
      <c r="E87" s="124" t="n"/>
      <c r="F87" s="124" t="n"/>
      <c r="G87" s="125" t="n"/>
      <c r="H87" s="125" t="n"/>
      <c r="I87" s="128">
        <f>ROUND(IFERROR($D87*$G87*(1-$H87),0),3)</f>
        <v/>
      </c>
      <c r="J87" s="128">
        <f>ROUND(IFERROR($E87*$G87*(1-$H87),0),3)</f>
        <v/>
      </c>
      <c r="K87" s="128">
        <f>ROUND(IFERROR($F87*$G87*(1-$H87),0),3)</f>
        <v/>
      </c>
      <c r="L87" s="127" t="n"/>
    </row>
    <row r="88" ht="18" customHeight="1" s="95">
      <c r="A88" s="139" t="inlineStr">
        <is>
          <t>S8</t>
        </is>
      </c>
      <c r="B88" s="122" t="n">
        <v>6</v>
      </c>
      <c r="C88" s="121" t="inlineStr">
        <is>
          <t>6. Stabilization, data verification, backlog</t>
        </is>
      </c>
      <c r="D88" s="124" t="n"/>
      <c r="E88" s="124" t="n"/>
      <c r="F88" s="124" t="n"/>
      <c r="G88" s="125" t="n"/>
      <c r="H88" s="125" t="n"/>
      <c r="I88" s="128">
        <f>ROUND(IFERROR($D88*$G88*(1-$H88),0),3)</f>
        <v/>
      </c>
      <c r="J88" s="128">
        <f>ROUND(IFERROR($E88*$G88*(1-$H88),0),3)</f>
        <v/>
      </c>
      <c r="K88" s="128">
        <f>ROUND(IFERROR($F88*$G88*(1-$H88),0),3)</f>
        <v/>
      </c>
      <c r="L88" s="127" t="n"/>
    </row>
    <row r="89" ht="18" customHeight="1" s="95">
      <c r="A89" s="139" t="inlineStr">
        <is>
          <t>S8</t>
        </is>
      </c>
      <c r="B89" s="122" t="n">
        <v>7</v>
      </c>
      <c r="C89" s="121" t="inlineStr">
        <is>
          <t>7. Return to normal performance</t>
        </is>
      </c>
      <c r="D89" s="124" t="n"/>
      <c r="E89" s="124" t="n"/>
      <c r="F89" s="124" t="n"/>
      <c r="G89" s="125" t="n"/>
      <c r="H89" s="125" t="n"/>
      <c r="I89" s="128">
        <f>ROUND(IFERROR($D89*$G89*(1-$H89),0),3)</f>
        <v/>
      </c>
      <c r="J89" s="128">
        <f>ROUND(IFERROR($E89*$G89*(1-$H89),0),3)</f>
        <v/>
      </c>
      <c r="K89" s="128">
        <f>ROUND(IFERROR($F89*$G89*(1-$H89),0),3)</f>
        <v/>
      </c>
      <c r="L89" s="127" t="n"/>
    </row>
    <row r="90"/>
    <row r="91" ht="19.5" customHeight="1" s="95">
      <c r="A91" s="99" t="inlineStr">
        <is>
          <t xml:space="preserve">  4. SUMMARY RESULTS (Model Engine - Do Not Edit)</t>
        </is>
      </c>
      <c r="B91" s="100" t="n"/>
      <c r="C91" s="100" t="n"/>
      <c r="D91" s="100" t="n"/>
      <c r="E91" s="100" t="n"/>
      <c r="F91" s="100" t="n"/>
      <c r="G91" s="100" t="n"/>
      <c r="H91" s="100" t="n"/>
      <c r="I91" s="100" t="n"/>
      <c r="J91" s="100" t="n"/>
      <c r="K91" s="100" t="n"/>
      <c r="L91" s="100" t="n"/>
      <c r="M91" s="100" t="n"/>
      <c r="N91" s="100" t="n"/>
      <c r="O91" s="100" t="n"/>
      <c r="P91" s="100" t="n"/>
    </row>
    <row r="92" ht="24" customHeight="1" s="95">
      <c r="A92" s="119" t="inlineStr">
        <is>
          <t>Measure</t>
        </is>
      </c>
      <c r="B92" s="119" t="inlineStr">
        <is>
          <t>Unit</t>
        </is>
      </c>
      <c r="C92" s="119" t="inlineStr">
        <is>
          <t>S1</t>
        </is>
      </c>
      <c r="D92" s="119" t="inlineStr">
        <is>
          <t>S2</t>
        </is>
      </c>
      <c r="E92" s="119" t="inlineStr">
        <is>
          <t>S3</t>
        </is>
      </c>
      <c r="F92" s="119" t="inlineStr">
        <is>
          <t>S4</t>
        </is>
      </c>
      <c r="G92" s="119" t="inlineStr">
        <is>
          <t>S5</t>
        </is>
      </c>
      <c r="H92" s="119" t="inlineStr">
        <is>
          <t>S6</t>
        </is>
      </c>
      <c r="I92" s="119" t="inlineStr">
        <is>
          <t>S7</t>
        </is>
      </c>
      <c r="J92" s="119" t="inlineStr">
        <is>
          <t>S8</t>
        </is>
      </c>
    </row>
    <row r="93" ht="18" customHeight="1" s="95">
      <c r="A93" s="121" t="inlineStr">
        <is>
          <t>Event calendar time - base</t>
        </is>
      </c>
      <c r="B93" s="122" t="inlineStr">
        <is>
          <t>h</t>
        </is>
      </c>
      <c r="C93" s="128">
        <f>$K7</f>
        <v/>
      </c>
      <c r="D93" s="128">
        <f>$K8</f>
        <v/>
      </c>
      <c r="E93" s="128">
        <f>$K9</f>
        <v/>
      </c>
      <c r="F93" s="128">
        <f>$K10</f>
        <v/>
      </c>
      <c r="G93" s="128">
        <f>$K11</f>
        <v/>
      </c>
      <c r="H93" s="128">
        <f>$K12</f>
        <v/>
      </c>
      <c r="I93" s="128">
        <f>$K13</f>
        <v/>
      </c>
      <c r="J93" s="128">
        <f>$K14</f>
        <v/>
      </c>
    </row>
    <row r="94" ht="18" customHeight="1" s="95">
      <c r="A94" s="121" t="inlineStr">
        <is>
          <t>Effective Downtime Hours H - Low</t>
        </is>
      </c>
      <c r="B94" s="122" t="inlineStr">
        <is>
          <t>h</t>
        </is>
      </c>
      <c r="C94" s="128">
        <f>$M7</f>
        <v/>
      </c>
      <c r="D94" s="128">
        <f>$M8</f>
        <v/>
      </c>
      <c r="E94" s="128">
        <f>$M9</f>
        <v/>
      </c>
      <c r="F94" s="128">
        <f>$M10</f>
        <v/>
      </c>
      <c r="G94" s="128">
        <f>$M11</f>
        <v/>
      </c>
      <c r="H94" s="128">
        <f>$M12</f>
        <v/>
      </c>
      <c r="I94" s="128">
        <f>$M13</f>
        <v/>
      </c>
      <c r="J94" s="128">
        <f>$M14</f>
        <v/>
      </c>
    </row>
    <row r="95" ht="18" customHeight="1" s="95">
      <c r="A95" s="130" t="inlineStr">
        <is>
          <t>Effective downtime hours H - base</t>
        </is>
      </c>
      <c r="B95" s="122" t="inlineStr">
        <is>
          <t>h</t>
        </is>
      </c>
      <c r="C95" s="154">
        <f>$N7</f>
        <v/>
      </c>
      <c r="D95" s="154">
        <f>$N8</f>
        <v/>
      </c>
      <c r="E95" s="154">
        <f>$N9</f>
        <v/>
      </c>
      <c r="F95" s="154">
        <f>$N10</f>
        <v/>
      </c>
      <c r="G95" s="154">
        <f>$N11</f>
        <v/>
      </c>
      <c r="H95" s="154">
        <f>$N12</f>
        <v/>
      </c>
      <c r="I95" s="154">
        <f>$N13</f>
        <v/>
      </c>
      <c r="J95" s="154">
        <f>$N14</f>
        <v/>
      </c>
    </row>
    <row r="96" ht="18" customHeight="1" s="95">
      <c r="A96" s="121" t="inlineStr">
        <is>
          <t>Effective Downtime Hours H - High</t>
        </is>
      </c>
      <c r="B96" s="122" t="inlineStr">
        <is>
          <t>h</t>
        </is>
      </c>
      <c r="C96" s="128">
        <f>$O7</f>
        <v/>
      </c>
      <c r="D96" s="128">
        <f>$O8</f>
        <v/>
      </c>
      <c r="E96" s="128">
        <f>$O9</f>
        <v/>
      </c>
      <c r="F96" s="128">
        <f>$O10</f>
        <v/>
      </c>
      <c r="G96" s="128">
        <f>$O11</f>
        <v/>
      </c>
      <c r="H96" s="128">
        <f>$O12</f>
        <v/>
      </c>
      <c r="I96" s="128">
        <f>$O13</f>
        <v/>
      </c>
      <c r="J96" s="128">
        <f>$O14</f>
        <v/>
      </c>
    </row>
    <row r="97" ht="18" customHeight="1" s="95">
      <c r="A97" s="121" t="inlineStr">
        <is>
          <t>Lost margin per effective hour (base)</t>
        </is>
      </c>
      <c r="B97" s="122" t="inlineStr">
        <is>
          <t>PLN/h</t>
        </is>
      </c>
      <c r="C97" s="129">
        <f>IFERROR(ROUND(SUMPRODUCT(C$19:C$30,'PROCESSES'!$O$6:$O$17,'PROCESSES'!$Q$6:$Q$17),2),0)</f>
        <v/>
      </c>
      <c r="D97" s="129">
        <f>IFERROR(ROUND(SUMPRODUCT(D$19:D$30,'PROCESSES'!$O$6:$O$17,'PROCESSES'!$Q$6:$Q$17),2),0)</f>
        <v/>
      </c>
      <c r="E97" s="129">
        <f>IFERROR(ROUND(SUMPRODUCT(E$19:E$30,'PROCESSES'!$O$6:$O$17,'PROCESSES'!$Q$6:$Q$17),2),0)</f>
        <v/>
      </c>
      <c r="F97" s="129">
        <f>IFERROR(ROUND(SUMPRODUCT(F$19:F$30,'PROCESSES'!$O$6:$O$17,'PROCESSES'!$Q$6:$Q$17),2),0)</f>
        <v/>
      </c>
      <c r="G97" s="129">
        <f>IFERROR(ROUND(SUMPRODUCT(G$19:G$30,'PROCESSES'!$O$6:$O$17,'PROCESSES'!$Q$6:$Q$17),2),0)</f>
        <v/>
      </c>
      <c r="H97" s="129">
        <f>IFERROR(ROUND(SUMPRODUCT(H$19:H$30,'PROCESSES'!$O$6:$O$17,'PROCESSES'!$Q$6:$Q$17),2),0)</f>
        <v/>
      </c>
      <c r="I97" s="129">
        <f>IFERROR(ROUND(SUMPRODUCT(I$19:I$30,'PROCESSES'!$O$6:$O$17,'PROCESSES'!$Q$6:$Q$17),2),0)</f>
        <v/>
      </c>
      <c r="J97" s="129">
        <f>IFERROR(ROUND(SUMPRODUCT(J$19:J$30,'PROCESSES'!$O$6:$O$17,'PROCESSES'!$Q$6:$Q$17),2),0)</f>
        <v/>
      </c>
    </row>
    <row r="98" ht="18" customHeight="1" s="95">
      <c r="A98" s="121" t="inlineStr">
        <is>
          <t>Lost Margin - Low</t>
        </is>
      </c>
      <c r="B98" s="122" t="inlineStr">
        <is>
          <t>PLN</t>
        </is>
      </c>
      <c r="C98" s="129">
        <f>IFERROR(ROUND($M7*SUMPRODUCT(C$19:C$30,'PROCESSES'!$O$6:$O$17,'PROCESSES'!$P$6:$P$17),2),0)</f>
        <v/>
      </c>
      <c r="D98" s="129">
        <f>IFERROR(ROUND($M8*SUMPRODUCT(D$19:D$30,'PROCESSES'!$O$6:$O$17,'PROCESSES'!$P$6:$P$17),2),0)</f>
        <v/>
      </c>
      <c r="E98" s="129">
        <f>IFERROR(ROUND($M9*SUMPRODUCT(E$19:E$30,'PROCESSES'!$O$6:$O$17,'PROCESSES'!$P$6:$P$17),2),0)</f>
        <v/>
      </c>
      <c r="F98" s="129">
        <f>IFERROR(ROUND($M10*SUMPRODUCT(F$19:F$30,'PROCESSES'!$O$6:$O$17,'PROCESSES'!$P$6:$P$17),2),0)</f>
        <v/>
      </c>
      <c r="G98" s="129">
        <f>IFERROR(ROUND($M11*SUMPRODUCT(G$19:G$30,'PROCESSES'!$O$6:$O$17,'PROCESSES'!$P$6:$P$17),2),0)</f>
        <v/>
      </c>
      <c r="H98" s="129">
        <f>IFERROR(ROUND($M12*SUMPRODUCT(H$19:H$30,'PROCESSES'!$O$6:$O$17,'PROCESSES'!$P$6:$P$17),2),0)</f>
        <v/>
      </c>
      <c r="I98" s="129">
        <f>IFERROR(ROUND($M13*SUMPRODUCT(I$19:I$30,'PROCESSES'!$O$6:$O$17,'PROCESSES'!$P$6:$P$17),2),0)</f>
        <v/>
      </c>
      <c r="J98" s="129">
        <f>IFERROR(ROUND($M14*SUMPRODUCT(J$19:J$30,'PROCESSES'!$O$6:$O$17,'PROCESSES'!$P$6:$P$17),2),0)</f>
        <v/>
      </c>
    </row>
    <row r="99" ht="18" customHeight="1" s="95">
      <c r="A99" s="130" t="inlineStr">
        <is>
          <t>Lost Margin - Baseline</t>
        </is>
      </c>
      <c r="B99" s="122" t="inlineStr">
        <is>
          <t>PLN</t>
        </is>
      </c>
      <c r="C99" s="155">
        <f>IFERROR(ROUND($N7*SUMPRODUCT(C$19:C$30,'PROCESSES'!$O$6:$O$17,'PROCESSES'!$Q$6:$Q$17),2),0)</f>
        <v/>
      </c>
      <c r="D99" s="155">
        <f>IFERROR(ROUND($N8*SUMPRODUCT(D$19:D$30,'PROCESSES'!$O$6:$O$17,'PROCESSES'!$Q$6:$Q$17),2),0)</f>
        <v/>
      </c>
      <c r="E99" s="155">
        <f>IFERROR(ROUND($N9*SUMPRODUCT(E$19:E$30,'PROCESSES'!$O$6:$O$17,'PROCESSES'!$Q$6:$Q$17),2),0)</f>
        <v/>
      </c>
      <c r="F99" s="155">
        <f>IFERROR(ROUND($N10*SUMPRODUCT(F$19:F$30,'PROCESSES'!$O$6:$O$17,'PROCESSES'!$Q$6:$Q$17),2),0)</f>
        <v/>
      </c>
      <c r="G99" s="155">
        <f>IFERROR(ROUND($N11*SUMPRODUCT(G$19:G$30,'PROCESSES'!$O$6:$O$17,'PROCESSES'!$Q$6:$Q$17),2),0)</f>
        <v/>
      </c>
      <c r="H99" s="155">
        <f>IFERROR(ROUND($N12*SUMPRODUCT(H$19:H$30,'PROCESSES'!$O$6:$O$17,'PROCESSES'!$Q$6:$Q$17),2),0)</f>
        <v/>
      </c>
      <c r="I99" s="155">
        <f>IFERROR(ROUND($N13*SUMPRODUCT(I$19:I$30,'PROCESSES'!$O$6:$O$17,'PROCESSES'!$Q$6:$Q$17),2),0)</f>
        <v/>
      </c>
      <c r="J99" s="155">
        <f>IFERROR(ROUND($N14*SUMPRODUCT(J$19:J$30,'PROCESSES'!$O$6:$O$17,'PROCESSES'!$Q$6:$Q$17),2),0)</f>
        <v/>
      </c>
    </row>
    <row r="100" ht="18" customHeight="1" s="95">
      <c r="A100" s="121" t="inlineStr">
        <is>
          <t>Lost Margin – High</t>
        </is>
      </c>
      <c r="B100" s="122" t="inlineStr">
        <is>
          <t>PLN</t>
        </is>
      </c>
      <c r="C100" s="129">
        <f>IFERROR(ROUND($O7*SUMPRODUCT(C$19:C$30,'PROCESSES'!$O$6:$O$17,'PROCESSES'!$R$6:$R$17),2),0)</f>
        <v/>
      </c>
      <c r="D100" s="129">
        <f>IFERROR(ROUND($O8*SUMPRODUCT(D$19:D$30,'PROCESSES'!$O$6:$O$17,'PROCESSES'!$R$6:$R$17),2),0)</f>
        <v/>
      </c>
      <c r="E100" s="129">
        <f>IFERROR(ROUND($O9*SUMPRODUCT(E$19:E$30,'PROCESSES'!$O$6:$O$17,'PROCESSES'!$R$6:$R$17),2),0)</f>
        <v/>
      </c>
      <c r="F100" s="129">
        <f>IFERROR(ROUND($O10*SUMPRODUCT(F$19:F$30,'PROCESSES'!$O$6:$O$17,'PROCESSES'!$R$6:$R$17),2),0)</f>
        <v/>
      </c>
      <c r="G100" s="129">
        <f>IFERROR(ROUND($O11*SUMPRODUCT(G$19:G$30,'PROCESSES'!$O$6:$O$17,'PROCESSES'!$R$6:$R$17),2),0)</f>
        <v/>
      </c>
      <c r="H100" s="129">
        <f>IFERROR(ROUND($O12*SUMPRODUCT(H$19:H$30,'PROCESSES'!$O$6:$O$17,'PROCESSES'!$R$6:$R$17),2),0)</f>
        <v/>
      </c>
      <c r="I100" s="129">
        <f>IFERROR(ROUND($O13*SUMPRODUCT(I$19:I$30,'PROCESSES'!$O$6:$O$17,'PROCESSES'!$R$6:$R$17),2),0)</f>
        <v/>
      </c>
      <c r="J100" s="129">
        <f>IFERROR(ROUND($O14*SUMPRODUCT(J$19:J$30,'PROCESSES'!$O$6:$O$17,'PROCESSES'!$R$6:$R$17),2),0)</f>
        <v/>
      </c>
    </row>
    <row r="101" ht="18" customHeight="1" s="95">
      <c r="A101" s="121" t="inlineStr">
        <is>
          <t>Lost Operational Capability (Engine) - Low</t>
        </is>
      </c>
      <c r="B101" s="122" t="inlineStr">
        <is>
          <t>PLN</t>
        </is>
      </c>
      <c r="C101" s="129">
        <f>IFERROR(ROUND($M7*SUMPRODUCT(C$19:C$30,'PROCESSES'!$E$6:$E$17,'PROCESSES'!$T$6:$T$17),2),0)</f>
        <v/>
      </c>
      <c r="D101" s="129">
        <f>IFERROR(ROUND($M8*SUMPRODUCT(D$19:D$30,'PROCESSES'!$E$6:$E$17,'PROCESSES'!$T$6:$T$17),2),0)</f>
        <v/>
      </c>
      <c r="E101" s="129">
        <f>IFERROR(ROUND($M9*SUMPRODUCT(E$19:E$30,'PROCESSES'!$E$6:$E$17,'PROCESSES'!$T$6:$T$17),2),0)</f>
        <v/>
      </c>
      <c r="F101" s="129">
        <f>IFERROR(ROUND($M10*SUMPRODUCT(F$19:F$30,'PROCESSES'!$E$6:$E$17,'PROCESSES'!$T$6:$T$17),2),0)</f>
        <v/>
      </c>
      <c r="G101" s="129">
        <f>IFERROR(ROUND($M11*SUMPRODUCT(G$19:G$30,'PROCESSES'!$E$6:$E$17,'PROCESSES'!$T$6:$T$17),2),0)</f>
        <v/>
      </c>
      <c r="H101" s="129">
        <f>IFERROR(ROUND($M12*SUMPRODUCT(H$19:H$30,'PROCESSES'!$E$6:$E$17,'PROCESSES'!$T$6:$T$17),2),0)</f>
        <v/>
      </c>
      <c r="I101" s="129">
        <f>IFERROR(ROUND($M13*SUMPRODUCT(I$19:I$30,'PROCESSES'!$E$6:$E$17,'PROCESSES'!$T$6:$T$17),2),0)</f>
        <v/>
      </c>
      <c r="J101" s="129">
        <f>IFERROR(ROUND($M14*SUMPRODUCT(J$19:J$30,'PROCESSES'!$E$6:$E$17,'PROCESSES'!$T$6:$T$17),2),0)</f>
        <v/>
      </c>
    </row>
    <row r="102" ht="18" customHeight="1" s="95">
      <c r="A102" s="130" t="inlineStr">
        <is>
          <t>Lost Operational Capability (Engine) - Baseline</t>
        </is>
      </c>
      <c r="B102" s="122" t="inlineStr">
        <is>
          <t>PLN</t>
        </is>
      </c>
      <c r="C102" s="155">
        <f>IFERROR(ROUND($N7*SUMPRODUCT(C$19:C$30,'PROCESSES'!$E$6:$E$17,'PROCESSES'!$T$6:$T$17),2),0)</f>
        <v/>
      </c>
      <c r="D102" s="155">
        <f>IFERROR(ROUND($N8*SUMPRODUCT(D$19:D$30,'PROCESSES'!$E$6:$E$17,'PROCESSES'!$T$6:$T$17),2),0)</f>
        <v/>
      </c>
      <c r="E102" s="155">
        <f>IFERROR(ROUND($N9*SUMPRODUCT(E$19:E$30,'PROCESSES'!$E$6:$E$17,'PROCESSES'!$T$6:$T$17),2),0)</f>
        <v/>
      </c>
      <c r="F102" s="155">
        <f>IFERROR(ROUND($N10*SUMPRODUCT(F$19:F$30,'PROCESSES'!$E$6:$E$17,'PROCESSES'!$T$6:$T$17),2),0)</f>
        <v/>
      </c>
      <c r="G102" s="155">
        <f>IFERROR(ROUND($N11*SUMPRODUCT(G$19:G$30,'PROCESSES'!$E$6:$E$17,'PROCESSES'!$T$6:$T$17),2),0)</f>
        <v/>
      </c>
      <c r="H102" s="155">
        <f>IFERROR(ROUND($N12*SUMPRODUCT(H$19:H$30,'PROCESSES'!$E$6:$E$17,'PROCESSES'!$T$6:$T$17),2),0)</f>
        <v/>
      </c>
      <c r="I102" s="155">
        <f>IFERROR(ROUND($N13*SUMPRODUCT(I$19:I$30,'PROCESSES'!$E$6:$E$17,'PROCESSES'!$T$6:$T$17),2),0)</f>
        <v/>
      </c>
      <c r="J102" s="155">
        <f>IFERROR(ROUND($N14*SUMPRODUCT(J$19:J$30,'PROCESSES'!$E$6:$E$17,'PROCESSES'!$T$6:$T$17),2),0)</f>
        <v/>
      </c>
    </row>
    <row r="103" ht="18" customHeight="1" s="95">
      <c r="A103" s="121" t="inlineStr">
        <is>
          <t>Lost Operational Capability (Engine) - High</t>
        </is>
      </c>
      <c r="B103" s="122" t="inlineStr">
        <is>
          <t>PLN</t>
        </is>
      </c>
      <c r="C103" s="129">
        <f>IFERROR(ROUND($O7*SUMPRODUCT(C$19:C$30,'PROCESSES'!$E$6:$E$17,'PROCESSES'!$T$6:$T$17),2),0)</f>
        <v/>
      </c>
      <c r="D103" s="129">
        <f>IFERROR(ROUND($O8*SUMPRODUCT(D$19:D$30,'PROCESSES'!$E$6:$E$17,'PROCESSES'!$T$6:$T$17),2),0)</f>
        <v/>
      </c>
      <c r="E103" s="129">
        <f>IFERROR(ROUND($O9*SUMPRODUCT(E$19:E$30,'PROCESSES'!$E$6:$E$17,'PROCESSES'!$T$6:$T$17),2),0)</f>
        <v/>
      </c>
      <c r="F103" s="129">
        <f>IFERROR(ROUND($O10*SUMPRODUCT(F$19:F$30,'PROCESSES'!$E$6:$E$17,'PROCESSES'!$T$6:$T$17),2),0)</f>
        <v/>
      </c>
      <c r="G103" s="129">
        <f>IFERROR(ROUND($O11*SUMPRODUCT(G$19:G$30,'PROCESSES'!$E$6:$E$17,'PROCESSES'!$T$6:$T$17),2),0)</f>
        <v/>
      </c>
      <c r="H103" s="129">
        <f>IFERROR(ROUND($O12*SUMPRODUCT(H$19:H$30,'PROCESSES'!$E$6:$E$17,'PROCESSES'!$T$6:$T$17),2),0)</f>
        <v/>
      </c>
      <c r="I103" s="129">
        <f>IFERROR(ROUND($O13*SUMPRODUCT(I$19:I$30,'PROCESSES'!$E$6:$E$17,'PROCESSES'!$T$6:$T$17),2),0)</f>
        <v/>
      </c>
      <c r="J103" s="129">
        <f>IFERROR(ROUND($O14*SUMPRODUCT(J$19:J$30,'PROCESSES'!$E$6:$E$17,'PROCESSES'!$T$6:$T$17),2),0)</f>
        <v/>
      </c>
    </row>
    <row r="104" ht="18" customHeight="1" s="95">
      <c r="A104" s="121" t="inlineStr">
        <is>
          <t>Registered cash costs – low</t>
        </is>
      </c>
      <c r="B104" s="122" t="inlineStr">
        <is>
          <t>PLN</t>
        </is>
      </c>
      <c r="C104" s="129">
        <f>SUMIFS('DETAILED COSTS'!$V$7:$V$126,'DETAILED COSTS'!$B$7:$B$126,$A7,'DETAILED COSTS'!$F$7:$F$126,"GOTÓWKA")</f>
        <v/>
      </c>
      <c r="D104" s="129">
        <f>SUMIFS('DETAILED COSTS'!$V$7:$V$126,'DETAILED COSTS'!$B$7:$B$126,$A8,'DETAILED COSTS'!$F$7:$F$126,"GOTÓWKA")</f>
        <v/>
      </c>
      <c r="E104" s="129">
        <f>SUMIFS('DETAILED COSTS'!$V$7:$V$126,'DETAILED COSTS'!$B$7:$B$126,$A9,'DETAILED COSTS'!$F$7:$F$126,"GOTÓWKA")</f>
        <v/>
      </c>
      <c r="F104" s="129">
        <f>SUMIFS('DETAILED COSTS'!$V$7:$V$126,'DETAILED COSTS'!$B$7:$B$126,$A10,'DETAILED COSTS'!$F$7:$F$126,"GOTÓWKA")</f>
        <v/>
      </c>
      <c r="G104" s="129">
        <f>SUMIFS('DETAILED COSTS'!$V$7:$V$126,'DETAILED COSTS'!$B$7:$B$126,$A11,'DETAILED COSTS'!$F$7:$F$126,"GOTÓWKA")</f>
        <v/>
      </c>
      <c r="H104" s="129">
        <f>SUMIFS('DETAILED COSTS'!$V$7:$V$126,'DETAILED COSTS'!$B$7:$B$126,$A12,'DETAILED COSTS'!$F$7:$F$126,"GOTÓWKA")</f>
        <v/>
      </c>
      <c r="I104" s="129">
        <f>SUMIFS('DETAILED COSTS'!$V$7:$V$126,'DETAILED COSTS'!$B$7:$B$126,$A13,'DETAILED COSTS'!$F$7:$F$126,"GOTÓWKA")</f>
        <v/>
      </c>
      <c r="J104" s="129">
        <f>SUMIFS('DETAILED COSTS'!$V$7:$V$126,'DETAILED COSTS'!$B$7:$B$126,$A14,'DETAILED COSTS'!$F$7:$F$126,"GOTÓWKA")</f>
        <v/>
      </c>
    </row>
    <row r="105" ht="18" customHeight="1" s="95">
      <c r="A105" s="121" t="inlineStr">
        <is>
          <t>Registered cash costs - base</t>
        </is>
      </c>
      <c r="B105" s="122" t="inlineStr">
        <is>
          <t>PLN</t>
        </is>
      </c>
      <c r="C105" s="129">
        <f>SUMIFS('DETAILED COSTS'!$W$7:$W$126,'DETAILED COSTS'!$B$7:$B$126,$A7,'DETAILED COSTS'!$F$7:$F$126,"GOTÓWKA")</f>
        <v/>
      </c>
      <c r="D105" s="129">
        <f>SUMIFS('DETAILED COSTS'!$W$7:$W$126,'DETAILED COSTS'!$B$7:$B$126,$A8,'DETAILED COSTS'!$F$7:$F$126,"GOTÓWKA")</f>
        <v/>
      </c>
      <c r="E105" s="129">
        <f>SUMIFS('DETAILED COSTS'!$W$7:$W$126,'DETAILED COSTS'!$B$7:$B$126,$A9,'DETAILED COSTS'!$F$7:$F$126,"GOTÓWKA")</f>
        <v/>
      </c>
      <c r="F105" s="129">
        <f>SUMIFS('DETAILED COSTS'!$W$7:$W$126,'DETAILED COSTS'!$B$7:$B$126,$A10,'DETAILED COSTS'!$F$7:$F$126,"GOTÓWKA")</f>
        <v/>
      </c>
      <c r="G105" s="129">
        <f>SUMIFS('DETAILED COSTS'!$W$7:$W$126,'DETAILED COSTS'!$B$7:$B$126,$A11,'DETAILED COSTS'!$F$7:$F$126,"GOTÓWKA")</f>
        <v/>
      </c>
      <c r="H105" s="129">
        <f>SUMIFS('DETAILED COSTS'!$W$7:$W$126,'DETAILED COSTS'!$B$7:$B$126,$A12,'DETAILED COSTS'!$F$7:$F$126,"GOTÓWKA")</f>
        <v/>
      </c>
      <c r="I105" s="129">
        <f>SUMIFS('DETAILED COSTS'!$W$7:$W$126,'DETAILED COSTS'!$B$7:$B$126,$A13,'DETAILED COSTS'!$F$7:$F$126,"GOTÓWKA")</f>
        <v/>
      </c>
      <c r="J105" s="129">
        <f>SUMIFS('DETAILED COSTS'!$W$7:$W$126,'DETAILED COSTS'!$B$7:$B$126,$A14,'DETAILED COSTS'!$F$7:$F$126,"GOTÓWKA")</f>
        <v/>
      </c>
    </row>
    <row r="106" ht="18" customHeight="1" s="95">
      <c r="A106" s="121" t="inlineStr">
        <is>
          <t>Registered cash costs - high</t>
        </is>
      </c>
      <c r="B106" s="122" t="inlineStr">
        <is>
          <t>PLN</t>
        </is>
      </c>
      <c r="C106" s="129">
        <f>SUMIFS('DETAILED COSTS'!$X$7:$X$126,'DETAILED COSTS'!$B$7:$B$126,$A7,'DETAILED COSTS'!$F$7:$F$126,"GOTÓWKA")</f>
        <v/>
      </c>
      <c r="D106" s="129">
        <f>SUMIFS('DETAILED COSTS'!$X$7:$X$126,'DETAILED COSTS'!$B$7:$B$126,$A8,'DETAILED COSTS'!$F$7:$F$126,"GOTÓWKA")</f>
        <v/>
      </c>
      <c r="E106" s="129">
        <f>SUMIFS('DETAILED COSTS'!$X$7:$X$126,'DETAILED COSTS'!$B$7:$B$126,$A9,'DETAILED COSTS'!$F$7:$F$126,"GOTÓWKA")</f>
        <v/>
      </c>
      <c r="F106" s="129">
        <f>SUMIFS('DETAILED COSTS'!$X$7:$X$126,'DETAILED COSTS'!$B$7:$B$126,$A10,'DETAILED COSTS'!$F$7:$F$126,"GOTÓWKA")</f>
        <v/>
      </c>
      <c r="G106" s="129">
        <f>SUMIFS('DETAILED COSTS'!$X$7:$X$126,'DETAILED COSTS'!$B$7:$B$126,$A11,'DETAILED COSTS'!$F$7:$F$126,"GOTÓWKA")</f>
        <v/>
      </c>
      <c r="H106" s="129">
        <f>SUMIFS('DETAILED COSTS'!$X$7:$X$126,'DETAILED COSTS'!$B$7:$B$126,$A12,'DETAILED COSTS'!$F$7:$F$126,"GOTÓWKA")</f>
        <v/>
      </c>
      <c r="I106" s="129">
        <f>SUMIFS('DETAILED COSTS'!$X$7:$X$126,'DETAILED COSTS'!$B$7:$B$126,$A13,'DETAILED COSTS'!$F$7:$F$126,"GOTÓWKA")</f>
        <v/>
      </c>
      <c r="J106" s="129">
        <f>SUMIFS('DETAILED COSTS'!$X$7:$X$126,'DETAILED COSTS'!$B$7:$B$126,$A14,'DETAILED COSTS'!$F$7:$F$126,"GOTÓWKA")</f>
        <v/>
      </c>
    </row>
    <row r="107" ht="18" customHeight="1" s="95">
      <c r="A107" s="121" t="inlineStr">
        <is>
          <t>Non-cash P&amp;L costs from the register - low</t>
        </is>
      </c>
      <c r="B107" s="122" t="inlineStr">
        <is>
          <t>PLN</t>
        </is>
      </c>
      <c r="C107" s="129">
        <f>SUMIFS('DETAILED COSTS'!$V$7:$V$126,'DETAILED COSTS'!$B$7:$B$126,$A7,'DETAILED COSTS'!$F$7:$F$126,"P&amp;L")</f>
        <v/>
      </c>
      <c r="D107" s="129">
        <f>SUMIFS('DETAILED COSTS'!$V$7:$V$126,'DETAILED COSTS'!$B$7:$B$126,$A8,'DETAILED COSTS'!$F$7:$F$126,"P&amp;L")</f>
        <v/>
      </c>
      <c r="E107" s="129">
        <f>SUMIFS('DETAILED COSTS'!$V$7:$V$126,'DETAILED COSTS'!$B$7:$B$126,$A9,'DETAILED COSTS'!$F$7:$F$126,"P&amp;L")</f>
        <v/>
      </c>
      <c r="F107" s="129">
        <f>SUMIFS('DETAILED COSTS'!$V$7:$V$126,'DETAILED COSTS'!$B$7:$B$126,$A10,'DETAILED COSTS'!$F$7:$F$126,"P&amp;L")</f>
        <v/>
      </c>
      <c r="G107" s="129">
        <f>SUMIFS('DETAILED COSTS'!$V$7:$V$126,'DETAILED COSTS'!$B$7:$B$126,$A11,'DETAILED COSTS'!$F$7:$F$126,"P&amp;L")</f>
        <v/>
      </c>
      <c r="H107" s="129">
        <f>SUMIFS('DETAILED COSTS'!$V$7:$V$126,'DETAILED COSTS'!$B$7:$B$126,$A12,'DETAILED COSTS'!$F$7:$F$126,"P&amp;L")</f>
        <v/>
      </c>
      <c r="I107" s="129">
        <f>SUMIFS('DETAILED COSTS'!$V$7:$V$126,'DETAILED COSTS'!$B$7:$B$126,$A13,'DETAILED COSTS'!$F$7:$F$126,"P&amp;L")</f>
        <v/>
      </c>
      <c r="J107" s="129">
        <f>SUMIFS('DETAILED COSTS'!$V$7:$V$126,'DETAILED COSTS'!$B$7:$B$126,$A14,'DETAILED COSTS'!$F$7:$F$126,"P&amp;L")</f>
        <v/>
      </c>
    </row>
    <row r="108" ht="18" customHeight="1" s="95">
      <c r="A108" s="121" t="inlineStr">
        <is>
          <t>Non-cash P&amp;L costs from the register - base</t>
        </is>
      </c>
      <c r="B108" s="122" t="inlineStr">
        <is>
          <t>PLN</t>
        </is>
      </c>
      <c r="C108" s="129">
        <f>SUMIFS('DETAILED COSTS'!$W$7:$W$126,'DETAILED COSTS'!$B$7:$B$126,$A7,'DETAILED COSTS'!$F$7:$F$126,"P&amp;L")</f>
        <v/>
      </c>
      <c r="D108" s="129">
        <f>SUMIFS('DETAILED COSTS'!$W$7:$W$126,'DETAILED COSTS'!$B$7:$B$126,$A8,'DETAILED COSTS'!$F$7:$F$126,"P&amp;L")</f>
        <v/>
      </c>
      <c r="E108" s="129">
        <f>SUMIFS('DETAILED COSTS'!$W$7:$W$126,'DETAILED COSTS'!$B$7:$B$126,$A9,'DETAILED COSTS'!$F$7:$F$126,"P&amp;L")</f>
        <v/>
      </c>
      <c r="F108" s="129">
        <f>SUMIFS('DETAILED COSTS'!$W$7:$W$126,'DETAILED COSTS'!$B$7:$B$126,$A10,'DETAILED COSTS'!$F$7:$F$126,"P&amp;L")</f>
        <v/>
      </c>
      <c r="G108" s="129">
        <f>SUMIFS('DETAILED COSTS'!$W$7:$W$126,'DETAILED COSTS'!$B$7:$B$126,$A11,'DETAILED COSTS'!$F$7:$F$126,"P&amp;L")</f>
        <v/>
      </c>
      <c r="H108" s="129">
        <f>SUMIFS('DETAILED COSTS'!$W$7:$W$126,'DETAILED COSTS'!$B$7:$B$126,$A12,'DETAILED COSTS'!$F$7:$F$126,"P&amp;L")</f>
        <v/>
      </c>
      <c r="I108" s="129">
        <f>SUMIFS('DETAILED COSTS'!$W$7:$W$126,'DETAILED COSTS'!$B$7:$B$126,$A13,'DETAILED COSTS'!$F$7:$F$126,"P&amp;L")</f>
        <v/>
      </c>
      <c r="J108" s="129">
        <f>SUMIFS('DETAILED COSTS'!$W$7:$W$126,'DETAILED COSTS'!$B$7:$B$126,$A14,'DETAILED COSTS'!$F$7:$F$126,"P&amp;L")</f>
        <v/>
      </c>
    </row>
    <row r="109" ht="18" customHeight="1" s="95">
      <c r="A109" s="121" t="inlineStr">
        <is>
          <t>Non-cash P&amp;L costs from the register - high</t>
        </is>
      </c>
      <c r="B109" s="122" t="inlineStr">
        <is>
          <t>PLN</t>
        </is>
      </c>
      <c r="C109" s="129">
        <f>SUMIFS('DETAILED COSTS'!$X$7:$X$126,'DETAILED COSTS'!$B$7:$B$126,$A7,'DETAILED COSTS'!$F$7:$F$126,"P&amp;L")</f>
        <v/>
      </c>
      <c r="D109" s="129">
        <f>SUMIFS('DETAILED COSTS'!$X$7:$X$126,'DETAILED COSTS'!$B$7:$B$126,$A8,'DETAILED COSTS'!$F$7:$F$126,"P&amp;L")</f>
        <v/>
      </c>
      <c r="E109" s="129">
        <f>SUMIFS('DETAILED COSTS'!$X$7:$X$126,'DETAILED COSTS'!$B$7:$B$126,$A9,'DETAILED COSTS'!$F$7:$F$126,"P&amp;L")</f>
        <v/>
      </c>
      <c r="F109" s="129">
        <f>SUMIFS('DETAILED COSTS'!$X$7:$X$126,'DETAILED COSTS'!$B$7:$B$126,$A10,'DETAILED COSTS'!$F$7:$F$126,"P&amp;L")</f>
        <v/>
      </c>
      <c r="G109" s="129">
        <f>SUMIFS('DETAILED COSTS'!$X$7:$X$126,'DETAILED COSTS'!$B$7:$B$126,$A11,'DETAILED COSTS'!$F$7:$F$126,"P&amp;L")</f>
        <v/>
      </c>
      <c r="H109" s="129">
        <f>SUMIFS('DETAILED COSTS'!$X$7:$X$126,'DETAILED COSTS'!$B$7:$B$126,$A12,'DETAILED COSTS'!$F$7:$F$126,"P&amp;L")</f>
        <v/>
      </c>
      <c r="I109" s="129">
        <f>SUMIFS('DETAILED COSTS'!$X$7:$X$126,'DETAILED COSTS'!$B$7:$B$126,$A13,'DETAILED COSTS'!$F$7:$F$126,"P&amp;L")</f>
        <v/>
      </c>
      <c r="J109" s="129">
        <f>SUMIFS('DETAILED COSTS'!$X$7:$X$126,'DETAILED COSTS'!$B$7:$B$126,$A14,'DETAILED COSTS'!$F$7:$F$126,"P&amp;L")</f>
        <v/>
      </c>
    </row>
    <row r="110" ht="18" customHeight="1" s="95">
      <c r="A110" s="121" t="inlineStr">
        <is>
          <t>Capacity costs from the register - low</t>
        </is>
      </c>
      <c r="B110" s="122" t="inlineStr">
        <is>
          <t>PLN</t>
        </is>
      </c>
      <c r="C110" s="129">
        <f>SUMIFS('DETAILED COSTS'!$V$7:$V$126,'DETAILED COSTS'!$B$7:$B$126,$A7,'DETAILED COSTS'!$F$7:$F$126,"ZDOLNOŚĆ")</f>
        <v/>
      </c>
      <c r="D110" s="129">
        <f>SUMIFS('DETAILED COSTS'!$V$7:$V$126,'DETAILED COSTS'!$B$7:$B$126,$A8,'DETAILED COSTS'!$F$7:$F$126,"ZDOLNOŚĆ")</f>
        <v/>
      </c>
      <c r="E110" s="129">
        <f>SUMIFS('DETAILED COSTS'!$V$7:$V$126,'DETAILED COSTS'!$B$7:$B$126,$A9,'DETAILED COSTS'!$F$7:$F$126,"ZDOLNOŚĆ")</f>
        <v/>
      </c>
      <c r="F110" s="129">
        <f>SUMIFS('DETAILED COSTS'!$V$7:$V$126,'DETAILED COSTS'!$B$7:$B$126,$A10,'DETAILED COSTS'!$F$7:$F$126,"ZDOLNOŚĆ")</f>
        <v/>
      </c>
      <c r="G110" s="129">
        <f>SUMIFS('DETAILED COSTS'!$V$7:$V$126,'DETAILED COSTS'!$B$7:$B$126,$A11,'DETAILED COSTS'!$F$7:$F$126,"ZDOLNOŚĆ")</f>
        <v/>
      </c>
      <c r="H110" s="129">
        <f>SUMIFS('DETAILED COSTS'!$V$7:$V$126,'DETAILED COSTS'!$B$7:$B$126,$A12,'DETAILED COSTS'!$F$7:$F$126,"ZDOLNOŚĆ")</f>
        <v/>
      </c>
      <c r="I110" s="129">
        <f>SUMIFS('DETAILED COSTS'!$V$7:$V$126,'DETAILED COSTS'!$B$7:$B$126,$A13,'DETAILED COSTS'!$F$7:$F$126,"ZDOLNOŚĆ")</f>
        <v/>
      </c>
      <c r="J110" s="129">
        <f>SUMIFS('DETAILED COSTS'!$V$7:$V$126,'DETAILED COSTS'!$B$7:$B$126,$A14,'DETAILED COSTS'!$F$7:$F$126,"ZDOLNOŚĆ")</f>
        <v/>
      </c>
    </row>
    <row r="111" ht="18" customHeight="1" s="95">
      <c r="A111" s="121" t="inlineStr">
        <is>
          <t>Capacity costs from the register - base</t>
        </is>
      </c>
      <c r="B111" s="122" t="inlineStr">
        <is>
          <t>PLN</t>
        </is>
      </c>
      <c r="C111" s="129">
        <f>SUMIFS('DETAILED COSTS'!$W$7:$W$126,'DETAILED COSTS'!$B$7:$B$126,$A7,'DETAILED COSTS'!$F$7:$F$126,"ZDOLNOŚĆ")</f>
        <v/>
      </c>
      <c r="D111" s="129">
        <f>SUMIFS('DETAILED COSTS'!$W$7:$W$126,'DETAILED COSTS'!$B$7:$B$126,$A8,'DETAILED COSTS'!$F$7:$F$126,"ZDOLNOŚĆ")</f>
        <v/>
      </c>
      <c r="E111" s="129">
        <f>SUMIFS('DETAILED COSTS'!$W$7:$W$126,'DETAILED COSTS'!$B$7:$B$126,$A9,'DETAILED COSTS'!$F$7:$F$126,"ZDOLNOŚĆ")</f>
        <v/>
      </c>
      <c r="F111" s="129">
        <f>SUMIFS('DETAILED COSTS'!$W$7:$W$126,'DETAILED COSTS'!$B$7:$B$126,$A10,'DETAILED COSTS'!$F$7:$F$126,"ZDOLNOŚĆ")</f>
        <v/>
      </c>
      <c r="G111" s="129">
        <f>SUMIFS('DETAILED COSTS'!$W$7:$W$126,'DETAILED COSTS'!$B$7:$B$126,$A11,'DETAILED COSTS'!$F$7:$F$126,"ZDOLNOŚĆ")</f>
        <v/>
      </c>
      <c r="H111" s="129">
        <f>SUMIFS('DETAILED COSTS'!$W$7:$W$126,'DETAILED COSTS'!$B$7:$B$126,$A12,'DETAILED COSTS'!$F$7:$F$126,"ZDOLNOŚĆ")</f>
        <v/>
      </c>
      <c r="I111" s="129">
        <f>SUMIFS('DETAILED COSTS'!$W$7:$W$126,'DETAILED COSTS'!$B$7:$B$126,$A13,'DETAILED COSTS'!$F$7:$F$126,"ZDOLNOŚĆ")</f>
        <v/>
      </c>
      <c r="J111" s="129">
        <f>SUMIFS('DETAILED COSTS'!$W$7:$W$126,'DETAILED COSTS'!$B$7:$B$126,$A14,'DETAILED COSTS'!$F$7:$F$126,"ZDOLNOŚĆ")</f>
        <v/>
      </c>
    </row>
    <row r="112" ht="18" customHeight="1" s="95">
      <c r="A112" s="121" t="inlineStr">
        <is>
          <t>Capacity costs from the register - high</t>
        </is>
      </c>
      <c r="B112" s="122" t="inlineStr">
        <is>
          <t>PLN</t>
        </is>
      </c>
      <c r="C112" s="129">
        <f>SUMIFS('DETAILED COSTS'!$X$7:$X$126,'DETAILED COSTS'!$B$7:$B$126,$A7,'DETAILED COSTS'!$F$7:$F$126,"ZDOLNOŚĆ")</f>
        <v/>
      </c>
      <c r="D112" s="129">
        <f>SUMIFS('DETAILED COSTS'!$X$7:$X$126,'DETAILED COSTS'!$B$7:$B$126,$A8,'DETAILED COSTS'!$F$7:$F$126,"ZDOLNOŚĆ")</f>
        <v/>
      </c>
      <c r="E112" s="129">
        <f>SUMIFS('DETAILED COSTS'!$X$7:$X$126,'DETAILED COSTS'!$B$7:$B$126,$A9,'DETAILED COSTS'!$F$7:$F$126,"ZDOLNOŚĆ")</f>
        <v/>
      </c>
      <c r="F112" s="129">
        <f>SUMIFS('DETAILED COSTS'!$X$7:$X$126,'DETAILED COSTS'!$B$7:$B$126,$A10,'DETAILED COSTS'!$F$7:$F$126,"ZDOLNOŚĆ")</f>
        <v/>
      </c>
      <c r="G112" s="129">
        <f>SUMIFS('DETAILED COSTS'!$X$7:$X$126,'DETAILED COSTS'!$B$7:$B$126,$A11,'DETAILED COSTS'!$F$7:$F$126,"ZDOLNOŚĆ")</f>
        <v/>
      </c>
      <c r="H112" s="129">
        <f>SUMIFS('DETAILED COSTS'!$X$7:$X$126,'DETAILED COSTS'!$B$7:$B$126,$A12,'DETAILED COSTS'!$F$7:$F$126,"ZDOLNOŚĆ")</f>
        <v/>
      </c>
      <c r="I112" s="129">
        <f>SUMIFS('DETAILED COSTS'!$X$7:$X$126,'DETAILED COSTS'!$B$7:$B$126,$A13,'DETAILED COSTS'!$F$7:$F$126,"ZDOLNOŚĆ")</f>
        <v/>
      </c>
      <c r="J112" s="129">
        <f>SUMIFS('DETAILED COSTS'!$X$7:$X$126,'DETAILED COSTS'!$B$7:$B$126,$A14,'DETAILED COSTS'!$F$7:$F$126,"ZDOLNOŚĆ")</f>
        <v/>
      </c>
    </row>
    <row r="113" ht="18" customHeight="1" s="95">
      <c r="A113" s="121" t="inlineStr">
        <is>
          <t>Data &amp; Recovery → Capability - Low</t>
        </is>
      </c>
      <c r="B113" s="122" t="inlineStr">
        <is>
          <t>PLN</t>
        </is>
      </c>
      <c r="C113" s="129">
        <f>SUMIFS('DATA AND RECOVERY'!$R$8:$R$15,'DATA AND RECOVERY'!$A$8:$A$15,$A7)</f>
        <v/>
      </c>
      <c r="D113" s="129">
        <f>SUMIFS('DATA AND RECOVERY'!$R$8:$R$15,'DATA AND RECOVERY'!$A$8:$A$15,$A8)</f>
        <v/>
      </c>
      <c r="E113" s="129">
        <f>SUMIFS('DATA AND RECOVERY'!$R$8:$R$15,'DATA AND RECOVERY'!$A$8:$A$15,$A9)</f>
        <v/>
      </c>
      <c r="F113" s="129">
        <f>SUMIFS('DATA AND RECOVERY'!$R$8:$R$15,'DATA AND RECOVERY'!$A$8:$A$15,$A10)</f>
        <v/>
      </c>
      <c r="G113" s="129">
        <f>SUMIFS('DATA AND RECOVERY'!$R$8:$R$15,'DATA AND RECOVERY'!$A$8:$A$15,$A11)</f>
        <v/>
      </c>
      <c r="H113" s="129">
        <f>SUMIFS('DATA AND RECOVERY'!$R$8:$R$15,'DATA AND RECOVERY'!$A$8:$A$15,$A12)</f>
        <v/>
      </c>
      <c r="I113" s="129">
        <f>SUMIFS('DATA AND RECOVERY'!$R$8:$R$15,'DATA AND RECOVERY'!$A$8:$A$15,$A13)</f>
        <v/>
      </c>
      <c r="J113" s="129">
        <f>SUMIFS('DATA AND RECOVERY'!$R$8:$R$15,'DATA AND RECOVERY'!$A$8:$A$15,$A14)</f>
        <v/>
      </c>
    </row>
    <row r="114" ht="18" customHeight="1" s="95">
      <c r="A114" s="121" t="inlineStr">
        <is>
          <t>Data and Recovery → Capability - Baseline</t>
        </is>
      </c>
      <c r="B114" s="122" t="inlineStr">
        <is>
          <t>PLN</t>
        </is>
      </c>
      <c r="C114" s="129">
        <f>SUMIFS('DATA AND RECOVERY'!$S$8:$S$15,'DATA AND RECOVERY'!$A$8:$A$15,$A7)</f>
        <v/>
      </c>
      <c r="D114" s="129">
        <f>SUMIFS('DATA AND RECOVERY'!$S$8:$S$15,'DATA AND RECOVERY'!$A$8:$A$15,$A8)</f>
        <v/>
      </c>
      <c r="E114" s="129">
        <f>SUMIFS('DATA AND RECOVERY'!$S$8:$S$15,'DATA AND RECOVERY'!$A$8:$A$15,$A9)</f>
        <v/>
      </c>
      <c r="F114" s="129">
        <f>SUMIFS('DATA AND RECOVERY'!$S$8:$S$15,'DATA AND RECOVERY'!$A$8:$A$15,$A10)</f>
        <v/>
      </c>
      <c r="G114" s="129">
        <f>SUMIFS('DATA AND RECOVERY'!$S$8:$S$15,'DATA AND RECOVERY'!$A$8:$A$15,$A11)</f>
        <v/>
      </c>
      <c r="H114" s="129">
        <f>SUMIFS('DATA AND RECOVERY'!$S$8:$S$15,'DATA AND RECOVERY'!$A$8:$A$15,$A12)</f>
        <v/>
      </c>
      <c r="I114" s="129">
        <f>SUMIFS('DATA AND RECOVERY'!$S$8:$S$15,'DATA AND RECOVERY'!$A$8:$A$15,$A13)</f>
        <v/>
      </c>
      <c r="J114" s="129">
        <f>SUMIFS('DATA AND RECOVERY'!$S$8:$S$15,'DATA AND RECOVERY'!$A$8:$A$15,$A14)</f>
        <v/>
      </c>
    </row>
    <row r="115" ht="18" customHeight="1" s="95">
      <c r="A115" s="121" t="inlineStr">
        <is>
          <t>Data &amp; Recovery → Capability - High</t>
        </is>
      </c>
      <c r="B115" s="122" t="inlineStr">
        <is>
          <t>PLN</t>
        </is>
      </c>
      <c r="C115" s="129">
        <f>SUMIFS('DATA AND RECOVERY'!$T$8:$T$15,'DATA AND RECOVERY'!$A$8:$A$15,$A7)</f>
        <v/>
      </c>
      <c r="D115" s="129">
        <f>SUMIFS('DATA AND RECOVERY'!$T$8:$T$15,'DATA AND RECOVERY'!$A$8:$A$15,$A8)</f>
        <v/>
      </c>
      <c r="E115" s="129">
        <f>SUMIFS('DATA AND RECOVERY'!$T$8:$T$15,'DATA AND RECOVERY'!$A$8:$A$15,$A9)</f>
        <v/>
      </c>
      <c r="F115" s="129">
        <f>SUMIFS('DATA AND RECOVERY'!$T$8:$T$15,'DATA AND RECOVERY'!$A$8:$A$15,$A10)</f>
        <v/>
      </c>
      <c r="G115" s="129">
        <f>SUMIFS('DATA AND RECOVERY'!$T$8:$T$15,'DATA AND RECOVERY'!$A$8:$A$15,$A11)</f>
        <v/>
      </c>
      <c r="H115" s="129">
        <f>SUMIFS('DATA AND RECOVERY'!$T$8:$T$15,'DATA AND RECOVERY'!$A$8:$A$15,$A12)</f>
        <v/>
      </c>
      <c r="I115" s="129">
        <f>SUMIFS('DATA AND RECOVERY'!$T$8:$T$15,'DATA AND RECOVERY'!$A$8:$A$15,$A13)</f>
        <v/>
      </c>
      <c r="J115" s="129">
        <f>SUMIFS('DATA AND RECOVERY'!$T$8:$T$15,'DATA AND RECOVERY'!$A$8:$A$15,$A14)</f>
        <v/>
      </c>
    </row>
    <row r="116" ht="18" customHeight="1" s="95">
      <c r="A116" s="121" t="inlineStr">
        <is>
          <t>Data &amp; Recovery → Cash - Low</t>
        </is>
      </c>
      <c r="B116" s="122" t="inlineStr">
        <is>
          <t>PLN</t>
        </is>
      </c>
      <c r="C116" s="129">
        <f>SUMIFS('DATA AND RECOVERY'!$U$8:$U$15,'DATA AND RECOVERY'!$A$8:$A$15,$A7)</f>
        <v/>
      </c>
      <c r="D116" s="129">
        <f>SUMIFS('DATA AND RECOVERY'!$U$8:$U$15,'DATA AND RECOVERY'!$A$8:$A$15,$A8)</f>
        <v/>
      </c>
      <c r="E116" s="129">
        <f>SUMIFS('DATA AND RECOVERY'!$U$8:$U$15,'DATA AND RECOVERY'!$A$8:$A$15,$A9)</f>
        <v/>
      </c>
      <c r="F116" s="129">
        <f>SUMIFS('DATA AND RECOVERY'!$U$8:$U$15,'DATA AND RECOVERY'!$A$8:$A$15,$A10)</f>
        <v/>
      </c>
      <c r="G116" s="129">
        <f>SUMIFS('DATA AND RECOVERY'!$U$8:$U$15,'DATA AND RECOVERY'!$A$8:$A$15,$A11)</f>
        <v/>
      </c>
      <c r="H116" s="129">
        <f>SUMIFS('DATA AND RECOVERY'!$U$8:$U$15,'DATA AND RECOVERY'!$A$8:$A$15,$A12)</f>
        <v/>
      </c>
      <c r="I116" s="129">
        <f>SUMIFS('DATA AND RECOVERY'!$U$8:$U$15,'DATA AND RECOVERY'!$A$8:$A$15,$A13)</f>
        <v/>
      </c>
      <c r="J116" s="129">
        <f>SUMIFS('DATA AND RECOVERY'!$U$8:$U$15,'DATA AND RECOVERY'!$A$8:$A$15,$A14)</f>
        <v/>
      </c>
    </row>
    <row r="117" ht="18" customHeight="1" s="95">
      <c r="A117" s="121" t="inlineStr">
        <is>
          <t>Data &amp; Recovery → Cash - Baseline</t>
        </is>
      </c>
      <c r="B117" s="122" t="inlineStr">
        <is>
          <t>PLN</t>
        </is>
      </c>
      <c r="C117" s="129">
        <f>SUMIFS('DATA AND RECOVERY'!$V$8:$V$15,'DATA AND RECOVERY'!$A$8:$A$15,$A7)</f>
        <v/>
      </c>
      <c r="D117" s="129">
        <f>SUMIFS('DATA AND RECOVERY'!$V$8:$V$15,'DATA AND RECOVERY'!$A$8:$A$15,$A8)</f>
        <v/>
      </c>
      <c r="E117" s="129">
        <f>SUMIFS('DATA AND RECOVERY'!$V$8:$V$15,'DATA AND RECOVERY'!$A$8:$A$15,$A9)</f>
        <v/>
      </c>
      <c r="F117" s="129">
        <f>SUMIFS('DATA AND RECOVERY'!$V$8:$V$15,'DATA AND RECOVERY'!$A$8:$A$15,$A10)</f>
        <v/>
      </c>
      <c r="G117" s="129">
        <f>SUMIFS('DATA AND RECOVERY'!$V$8:$V$15,'DATA AND RECOVERY'!$A$8:$A$15,$A11)</f>
        <v/>
      </c>
      <c r="H117" s="129">
        <f>SUMIFS('DATA AND RECOVERY'!$V$8:$V$15,'DATA AND RECOVERY'!$A$8:$A$15,$A12)</f>
        <v/>
      </c>
      <c r="I117" s="129">
        <f>SUMIFS('DATA AND RECOVERY'!$V$8:$V$15,'DATA AND RECOVERY'!$A$8:$A$15,$A13)</f>
        <v/>
      </c>
      <c r="J117" s="129">
        <f>SUMIFS('DATA AND RECOVERY'!$V$8:$V$15,'DATA AND RECOVERY'!$A$8:$A$15,$A14)</f>
        <v/>
      </c>
    </row>
    <row r="118" ht="18" customHeight="1" s="95">
      <c r="A118" s="121" t="inlineStr">
        <is>
          <t>Data &amp; Recovery → Cash - High</t>
        </is>
      </c>
      <c r="B118" s="122" t="inlineStr">
        <is>
          <t>PLN</t>
        </is>
      </c>
      <c r="C118" s="129">
        <f>SUMIFS('DATA AND RECOVERY'!$W$8:$W$15,'DATA AND RECOVERY'!$A$8:$A$15,$A7)</f>
        <v/>
      </c>
      <c r="D118" s="129">
        <f>SUMIFS('DATA AND RECOVERY'!$W$8:$W$15,'DATA AND RECOVERY'!$A$8:$A$15,$A8)</f>
        <v/>
      </c>
      <c r="E118" s="129">
        <f>SUMIFS('DATA AND RECOVERY'!$W$8:$W$15,'DATA AND RECOVERY'!$A$8:$A$15,$A9)</f>
        <v/>
      </c>
      <c r="F118" s="129">
        <f>SUMIFS('DATA AND RECOVERY'!$W$8:$W$15,'DATA AND RECOVERY'!$A$8:$A$15,$A10)</f>
        <v/>
      </c>
      <c r="G118" s="129">
        <f>SUMIFS('DATA AND RECOVERY'!$W$8:$W$15,'DATA AND RECOVERY'!$A$8:$A$15,$A11)</f>
        <v/>
      </c>
      <c r="H118" s="129">
        <f>SUMIFS('DATA AND RECOVERY'!$W$8:$W$15,'DATA AND RECOVERY'!$A$8:$A$15,$A12)</f>
        <v/>
      </c>
      <c r="I118" s="129">
        <f>SUMIFS('DATA AND RECOVERY'!$W$8:$W$15,'DATA AND RECOVERY'!$A$8:$A$15,$A13)</f>
        <v/>
      </c>
      <c r="J118" s="129">
        <f>SUMIFS('DATA AND RECOVERY'!$W$8:$W$15,'DATA AND RECOVERY'!$A$8:$A$15,$A14)</f>
        <v/>
      </c>
    </row>
    <row r="119" ht="18" customHeight="1" s="95">
      <c r="A119" s="121" t="inlineStr">
        <is>
          <t>Client/Legal/Cyber → Cash - Low</t>
        </is>
      </c>
      <c r="B119" s="122" t="inlineStr">
        <is>
          <t>PLN</t>
        </is>
      </c>
      <c r="C119" s="129">
        <f>SUMIFS('CLIENT LEGAL AND CYBER'!$M$9:$M$38,'CLIENT LEGAL AND CYBER'!$B$9:$B$38,$A7,'CLIENT LEGAL AND CYBER'!$E$9:$E$38,"GOTÓWKA")</f>
        <v/>
      </c>
      <c r="D119" s="129">
        <f>SUMIFS('CLIENT LEGAL AND CYBER'!$M$9:$M$38,'CLIENT LEGAL AND CYBER'!$B$9:$B$38,$A8,'CLIENT LEGAL AND CYBER'!$E$9:$E$38,"GOTÓWKA")</f>
        <v/>
      </c>
      <c r="E119" s="129">
        <f>SUMIFS('CLIENT LEGAL AND CYBER'!$M$9:$M$38,'CLIENT LEGAL AND CYBER'!$B$9:$B$38,$A9,'CLIENT LEGAL AND CYBER'!$E$9:$E$38,"GOTÓWKA")</f>
        <v/>
      </c>
      <c r="F119" s="129">
        <f>SUMIFS('CLIENT LEGAL AND CYBER'!$M$9:$M$38,'CLIENT LEGAL AND CYBER'!$B$9:$B$38,$A10,'CLIENT LEGAL AND CYBER'!$E$9:$E$38,"GOTÓWKA")</f>
        <v/>
      </c>
      <c r="G119" s="129">
        <f>SUMIFS('CLIENT LEGAL AND CYBER'!$M$9:$M$38,'CLIENT LEGAL AND CYBER'!$B$9:$B$38,$A11,'CLIENT LEGAL AND CYBER'!$E$9:$E$38,"GOTÓWKA")</f>
        <v/>
      </c>
      <c r="H119" s="129">
        <f>SUMIFS('CLIENT LEGAL AND CYBER'!$M$9:$M$38,'CLIENT LEGAL AND CYBER'!$B$9:$B$38,$A12,'CLIENT LEGAL AND CYBER'!$E$9:$E$38,"GOTÓWKA")</f>
        <v/>
      </c>
      <c r="I119" s="129">
        <f>SUMIFS('CLIENT LEGAL AND CYBER'!$M$9:$M$38,'CLIENT LEGAL AND CYBER'!$B$9:$B$38,$A13,'CLIENT LEGAL AND CYBER'!$E$9:$E$38,"GOTÓWKA")</f>
        <v/>
      </c>
      <c r="J119" s="129">
        <f>SUMIFS('CLIENT LEGAL AND CYBER'!$M$9:$M$38,'CLIENT LEGAL AND CYBER'!$B$9:$B$38,$A14,'CLIENT LEGAL AND CYBER'!$E$9:$E$38,"GOTÓWKA")</f>
        <v/>
      </c>
    </row>
    <row r="120" ht="18" customHeight="1" s="95">
      <c r="A120" s="121" t="inlineStr">
        <is>
          <t>Client/Legal/Cyber → Cash - Basic</t>
        </is>
      </c>
      <c r="B120" s="122" t="inlineStr">
        <is>
          <t>PLN</t>
        </is>
      </c>
      <c r="C120" s="129">
        <f>SUMIFS('CLIENT LEGAL AND CYBER'!$N$9:$N$38,'CLIENT LEGAL AND CYBER'!$B$9:$B$38,$A7,'CLIENT LEGAL AND CYBER'!$E$9:$E$38,"GOTÓWKA")</f>
        <v/>
      </c>
      <c r="D120" s="129">
        <f>SUMIFS('CLIENT LEGAL AND CYBER'!$N$9:$N$38,'CLIENT LEGAL AND CYBER'!$B$9:$B$38,$A8,'CLIENT LEGAL AND CYBER'!$E$9:$E$38,"GOTÓWKA")</f>
        <v/>
      </c>
      <c r="E120" s="129">
        <f>SUMIFS('CLIENT LEGAL AND CYBER'!$N$9:$N$38,'CLIENT LEGAL AND CYBER'!$B$9:$B$38,$A9,'CLIENT LEGAL AND CYBER'!$E$9:$E$38,"GOTÓWKA")</f>
        <v/>
      </c>
      <c r="F120" s="129">
        <f>SUMIFS('CLIENT LEGAL AND CYBER'!$N$9:$N$38,'CLIENT LEGAL AND CYBER'!$B$9:$B$38,$A10,'CLIENT LEGAL AND CYBER'!$E$9:$E$38,"GOTÓWKA")</f>
        <v/>
      </c>
      <c r="G120" s="129">
        <f>SUMIFS('CLIENT LEGAL AND CYBER'!$N$9:$N$38,'CLIENT LEGAL AND CYBER'!$B$9:$B$38,$A11,'CLIENT LEGAL AND CYBER'!$E$9:$E$38,"GOTÓWKA")</f>
        <v/>
      </c>
      <c r="H120" s="129">
        <f>SUMIFS('CLIENT LEGAL AND CYBER'!$N$9:$N$38,'CLIENT LEGAL AND CYBER'!$B$9:$B$38,$A12,'CLIENT LEGAL AND CYBER'!$E$9:$E$38,"GOTÓWKA")</f>
        <v/>
      </c>
      <c r="I120" s="129">
        <f>SUMIFS('CLIENT LEGAL AND CYBER'!$N$9:$N$38,'CLIENT LEGAL AND CYBER'!$B$9:$B$38,$A13,'CLIENT LEGAL AND CYBER'!$E$9:$E$38,"GOTÓWKA")</f>
        <v/>
      </c>
      <c r="J120" s="129">
        <f>SUMIFS('CLIENT LEGAL AND CYBER'!$N$9:$N$38,'CLIENT LEGAL AND CYBER'!$B$9:$B$38,$A14,'CLIENT LEGAL AND CYBER'!$E$9:$E$38,"GOTÓWKA")</f>
        <v/>
      </c>
    </row>
    <row r="121" ht="18" customHeight="1" s="95">
      <c r="A121" s="121" t="inlineStr">
        <is>
          <t>Client/Legal/Cyber → Cash - High</t>
        </is>
      </c>
      <c r="B121" s="122" t="inlineStr">
        <is>
          <t>PLN</t>
        </is>
      </c>
      <c r="C121" s="129">
        <f>SUMIFS('CLIENT LEGAL AND CYBER'!$O$9:$O$38,'CLIENT LEGAL AND CYBER'!$B$9:$B$38,$A7,'CLIENT LEGAL AND CYBER'!$E$9:$E$38,"GOTÓWKA")</f>
        <v/>
      </c>
      <c r="D121" s="129">
        <f>SUMIFS('CLIENT LEGAL AND CYBER'!$O$9:$O$38,'CLIENT LEGAL AND CYBER'!$B$9:$B$38,$A8,'CLIENT LEGAL AND CYBER'!$E$9:$E$38,"GOTÓWKA")</f>
        <v/>
      </c>
      <c r="E121" s="129">
        <f>SUMIFS('CLIENT LEGAL AND CYBER'!$O$9:$O$38,'CLIENT LEGAL AND CYBER'!$B$9:$B$38,$A9,'CLIENT LEGAL AND CYBER'!$E$9:$E$38,"GOTÓWKA")</f>
        <v/>
      </c>
      <c r="F121" s="129">
        <f>SUMIFS('CLIENT LEGAL AND CYBER'!$O$9:$O$38,'CLIENT LEGAL AND CYBER'!$B$9:$B$38,$A10,'CLIENT LEGAL AND CYBER'!$E$9:$E$38,"GOTÓWKA")</f>
        <v/>
      </c>
      <c r="G121" s="129">
        <f>SUMIFS('CLIENT LEGAL AND CYBER'!$O$9:$O$38,'CLIENT LEGAL AND CYBER'!$B$9:$B$38,$A11,'CLIENT LEGAL AND CYBER'!$E$9:$E$38,"GOTÓWKA")</f>
        <v/>
      </c>
      <c r="H121" s="129">
        <f>SUMIFS('CLIENT LEGAL AND CYBER'!$O$9:$O$38,'CLIENT LEGAL AND CYBER'!$B$9:$B$38,$A12,'CLIENT LEGAL AND CYBER'!$E$9:$E$38,"GOTÓWKA")</f>
        <v/>
      </c>
      <c r="I121" s="129">
        <f>SUMIFS('CLIENT LEGAL AND CYBER'!$O$9:$O$38,'CLIENT LEGAL AND CYBER'!$B$9:$B$38,$A13,'CLIENT LEGAL AND CYBER'!$E$9:$E$38,"GOTÓWKA")</f>
        <v/>
      </c>
      <c r="J121" s="129">
        <f>SUMIFS('CLIENT LEGAL AND CYBER'!$O$9:$O$38,'CLIENT LEGAL AND CYBER'!$B$9:$B$38,$A14,'CLIENT LEGAL AND CYBER'!$E$9:$E$38,"GOTÓWKA")</f>
        <v/>
      </c>
    </row>
    <row r="122" ht="18" customHeight="1" s="95">
      <c r="A122" s="121" t="inlineStr">
        <is>
          <t>Contingent exposures - low</t>
        </is>
      </c>
      <c r="B122" s="122" t="inlineStr">
        <is>
          <t>PLN</t>
        </is>
      </c>
      <c r="C122" s="129">
        <f>SUMIFS('DETAILED COSTS'!$V$7:$V$126,'DETAILED COSTS'!$B$7:$B$126,$A7,'DETAILED COSTS'!$F$7:$F$126,"WARUNKOWA")+SUMIFS('CLIENT LEGAL AND CYBER'!$M$9:$M$38,'CLIENT LEGAL AND CYBER'!$B$9:$B$38,$A7,'CLIENT LEGAL AND CYBER'!$E$9:$E$38,"WARUNKOWA")</f>
        <v/>
      </c>
      <c r="D122" s="129">
        <f>SUMIFS('DETAILED COSTS'!$V$7:$V$126,'DETAILED COSTS'!$B$7:$B$126,$A8,'DETAILED COSTS'!$F$7:$F$126,"WARUNKOWA")+SUMIFS('CLIENT LEGAL AND CYBER'!$M$9:$M$38,'CLIENT LEGAL AND CYBER'!$B$9:$B$38,$A8,'CLIENT LEGAL AND CYBER'!$E$9:$E$38,"WARUNKOWA")</f>
        <v/>
      </c>
      <c r="E122" s="129">
        <f>SUMIFS('DETAILED COSTS'!$V$7:$V$126,'DETAILED COSTS'!$B$7:$B$126,$A9,'DETAILED COSTS'!$F$7:$F$126,"WARUNKOWA")+SUMIFS('CLIENT LEGAL AND CYBER'!$M$9:$M$38,'CLIENT LEGAL AND CYBER'!$B$9:$B$38,$A9,'CLIENT LEGAL AND CYBER'!$E$9:$E$38,"WARUNKOWA")</f>
        <v/>
      </c>
      <c r="F122" s="129">
        <f>SUMIFS('DETAILED COSTS'!$V$7:$V$126,'DETAILED COSTS'!$B$7:$B$126,$A10,'DETAILED COSTS'!$F$7:$F$126,"WARUNKOWA")+SUMIFS('CLIENT LEGAL AND CYBER'!$M$9:$M$38,'CLIENT LEGAL AND CYBER'!$B$9:$B$38,$A10,'CLIENT LEGAL AND CYBER'!$E$9:$E$38,"WARUNKOWA")</f>
        <v/>
      </c>
      <c r="G122" s="129">
        <f>SUMIFS('DETAILED COSTS'!$V$7:$V$126,'DETAILED COSTS'!$B$7:$B$126,$A11,'DETAILED COSTS'!$F$7:$F$126,"WARUNKOWA")+SUMIFS('CLIENT LEGAL AND CYBER'!$M$9:$M$38,'CLIENT LEGAL AND CYBER'!$B$9:$B$38,$A11,'CLIENT LEGAL AND CYBER'!$E$9:$E$38,"WARUNKOWA")</f>
        <v/>
      </c>
      <c r="H122" s="129">
        <f>SUMIFS('DETAILED COSTS'!$V$7:$V$126,'DETAILED COSTS'!$B$7:$B$126,$A12,'DETAILED COSTS'!$F$7:$F$126,"WARUNKOWA")+SUMIFS('CLIENT LEGAL AND CYBER'!$M$9:$M$38,'CLIENT LEGAL AND CYBER'!$B$9:$B$38,$A12,'CLIENT LEGAL AND CYBER'!$E$9:$E$38,"WARUNKOWA")</f>
        <v/>
      </c>
      <c r="I122" s="129">
        <f>SUMIFS('DETAILED COSTS'!$V$7:$V$126,'DETAILED COSTS'!$B$7:$B$126,$A13,'DETAILED COSTS'!$F$7:$F$126,"WARUNKOWA")+SUMIFS('CLIENT LEGAL AND CYBER'!$M$9:$M$38,'CLIENT LEGAL AND CYBER'!$B$9:$B$38,$A13,'CLIENT LEGAL AND CYBER'!$E$9:$E$38,"WARUNKOWA")</f>
        <v/>
      </c>
      <c r="J122" s="129">
        <f>SUMIFS('DETAILED COSTS'!$V$7:$V$126,'DETAILED COSTS'!$B$7:$B$126,$A14,'DETAILED COSTS'!$F$7:$F$126,"WARUNKOWA")+SUMIFS('CLIENT LEGAL AND CYBER'!$M$9:$M$38,'CLIENT LEGAL AND CYBER'!$B$9:$B$38,$A14,'CLIENT LEGAL AND CYBER'!$E$9:$E$38,"WARUNKOWA")</f>
        <v/>
      </c>
    </row>
    <row r="123" ht="18" customHeight="1" s="95">
      <c r="A123" s="130" t="inlineStr">
        <is>
          <t>Contingent exposures - underlying</t>
        </is>
      </c>
      <c r="B123" s="122" t="inlineStr">
        <is>
          <t>PLN</t>
        </is>
      </c>
      <c r="C123" s="155">
        <f>SUMIFS('DETAILED COSTS'!$W$7:$W$126,'DETAILED COSTS'!$B$7:$B$126,$A7,'DETAILED COSTS'!$F$7:$F$126,"WARUNKOWA")+SUMIFS('CLIENT LEGAL AND CYBER'!$N$9:$N$38,'CLIENT LEGAL AND CYBER'!$B$9:$B$38,$A7,'CLIENT LEGAL AND CYBER'!$E$9:$E$38,"WARUNKOWA")</f>
        <v/>
      </c>
      <c r="D123" s="155">
        <f>SUMIFS('DETAILED COSTS'!$W$7:$W$126,'DETAILED COSTS'!$B$7:$B$126,$A8,'DETAILED COSTS'!$F$7:$F$126,"WARUNKOWA")+SUMIFS('CLIENT LEGAL AND CYBER'!$N$9:$N$38,'CLIENT LEGAL AND CYBER'!$B$9:$B$38,$A8,'CLIENT LEGAL AND CYBER'!$E$9:$E$38,"WARUNKOWA")</f>
        <v/>
      </c>
      <c r="E123" s="155">
        <f>SUMIFS('DETAILED COSTS'!$W$7:$W$126,'DETAILED COSTS'!$B$7:$B$126,$A9,'DETAILED COSTS'!$F$7:$F$126,"WARUNKOWA")+SUMIFS('CLIENT LEGAL AND CYBER'!$N$9:$N$38,'CLIENT LEGAL AND CYBER'!$B$9:$B$38,$A9,'CLIENT LEGAL AND CYBER'!$E$9:$E$38,"WARUNKOWA")</f>
        <v/>
      </c>
      <c r="F123" s="155">
        <f>SUMIFS('DETAILED COSTS'!$W$7:$W$126,'DETAILED COSTS'!$B$7:$B$126,$A10,'DETAILED COSTS'!$F$7:$F$126,"WARUNKOWA")+SUMIFS('CLIENT LEGAL AND CYBER'!$N$9:$N$38,'CLIENT LEGAL AND CYBER'!$B$9:$B$38,$A10,'CLIENT LEGAL AND CYBER'!$E$9:$E$38,"WARUNKOWA")</f>
        <v/>
      </c>
      <c r="G123" s="155">
        <f>SUMIFS('DETAILED COSTS'!$W$7:$W$126,'DETAILED COSTS'!$B$7:$B$126,$A11,'DETAILED COSTS'!$F$7:$F$126,"WARUNKOWA")+SUMIFS('CLIENT LEGAL AND CYBER'!$N$9:$N$38,'CLIENT LEGAL AND CYBER'!$B$9:$B$38,$A11,'CLIENT LEGAL AND CYBER'!$E$9:$E$38,"WARUNKOWA")</f>
        <v/>
      </c>
      <c r="H123" s="155">
        <f>SUMIFS('DETAILED COSTS'!$W$7:$W$126,'DETAILED COSTS'!$B$7:$B$126,$A12,'DETAILED COSTS'!$F$7:$F$126,"WARUNKOWA")+SUMIFS('CLIENT LEGAL AND CYBER'!$N$9:$N$38,'CLIENT LEGAL AND CYBER'!$B$9:$B$38,$A12,'CLIENT LEGAL AND CYBER'!$E$9:$E$38,"WARUNKOWA")</f>
        <v/>
      </c>
      <c r="I123" s="155">
        <f>SUMIFS('DETAILED COSTS'!$W$7:$W$126,'DETAILED COSTS'!$B$7:$B$126,$A13,'DETAILED COSTS'!$F$7:$F$126,"WARUNKOWA")+SUMIFS('CLIENT LEGAL AND CYBER'!$N$9:$N$38,'CLIENT LEGAL AND CYBER'!$B$9:$B$38,$A13,'CLIENT LEGAL AND CYBER'!$E$9:$E$38,"WARUNKOWA")</f>
        <v/>
      </c>
      <c r="J123" s="155">
        <f>SUMIFS('DETAILED COSTS'!$W$7:$W$126,'DETAILED COSTS'!$B$7:$B$126,$A14,'DETAILED COSTS'!$F$7:$F$126,"WARUNKOWA")+SUMIFS('CLIENT LEGAL AND CYBER'!$N$9:$N$38,'CLIENT LEGAL AND CYBER'!$B$9:$B$38,$A14,'CLIENT LEGAL AND CYBER'!$E$9:$E$38,"WARUNKOWA")</f>
        <v/>
      </c>
    </row>
    <row r="124" ht="18" customHeight="1" s="95">
      <c r="A124" s="121" t="inlineStr">
        <is>
          <t>Contingent exposures - high</t>
        </is>
      </c>
      <c r="B124" s="122" t="inlineStr">
        <is>
          <t>PLN</t>
        </is>
      </c>
      <c r="C124" s="129">
        <f>SUMIFS('DETAILED COSTS'!$X$7:$X$126,'DETAILED COSTS'!$B$7:$B$126,$A7,'DETAILED COSTS'!$F$7:$F$126,"WARUNKOWA")+SUMIFS('CLIENT LEGAL AND CYBER'!$O$9:$O$38,'CLIENT LEGAL AND CYBER'!$B$9:$B$38,$A7,'CLIENT LEGAL AND CYBER'!$E$9:$E$38,"WARUNKOWA")</f>
        <v/>
      </c>
      <c r="D124" s="129">
        <f>SUMIFS('DETAILED COSTS'!$X$7:$X$126,'DETAILED COSTS'!$B$7:$B$126,$A8,'DETAILED COSTS'!$F$7:$F$126,"WARUNKOWA")+SUMIFS('CLIENT LEGAL AND CYBER'!$O$9:$O$38,'CLIENT LEGAL AND CYBER'!$B$9:$B$38,$A8,'CLIENT LEGAL AND CYBER'!$E$9:$E$38,"WARUNKOWA")</f>
        <v/>
      </c>
      <c r="E124" s="129">
        <f>SUMIFS('DETAILED COSTS'!$X$7:$X$126,'DETAILED COSTS'!$B$7:$B$126,$A9,'DETAILED COSTS'!$F$7:$F$126,"WARUNKOWA")+SUMIFS('CLIENT LEGAL AND CYBER'!$O$9:$O$38,'CLIENT LEGAL AND CYBER'!$B$9:$B$38,$A9,'CLIENT LEGAL AND CYBER'!$E$9:$E$38,"WARUNKOWA")</f>
        <v/>
      </c>
      <c r="F124" s="129">
        <f>SUMIFS('DETAILED COSTS'!$X$7:$X$126,'DETAILED COSTS'!$B$7:$B$126,$A10,'DETAILED COSTS'!$F$7:$F$126,"WARUNKOWA")+SUMIFS('CLIENT LEGAL AND CYBER'!$O$9:$O$38,'CLIENT LEGAL AND CYBER'!$B$9:$B$38,$A10,'CLIENT LEGAL AND CYBER'!$E$9:$E$38,"WARUNKOWA")</f>
        <v/>
      </c>
      <c r="G124" s="129">
        <f>SUMIFS('DETAILED COSTS'!$X$7:$X$126,'DETAILED COSTS'!$B$7:$B$126,$A11,'DETAILED COSTS'!$F$7:$F$126,"WARUNKOWA")+SUMIFS('CLIENT LEGAL AND CYBER'!$O$9:$O$38,'CLIENT LEGAL AND CYBER'!$B$9:$B$38,$A11,'CLIENT LEGAL AND CYBER'!$E$9:$E$38,"WARUNKOWA")</f>
        <v/>
      </c>
      <c r="H124" s="129">
        <f>SUMIFS('DETAILED COSTS'!$X$7:$X$126,'DETAILED COSTS'!$B$7:$B$126,$A12,'DETAILED COSTS'!$F$7:$F$126,"WARUNKOWA")+SUMIFS('CLIENT LEGAL AND CYBER'!$O$9:$O$38,'CLIENT LEGAL AND CYBER'!$B$9:$B$38,$A12,'CLIENT LEGAL AND CYBER'!$E$9:$E$38,"WARUNKOWA")</f>
        <v/>
      </c>
      <c r="I124" s="129">
        <f>SUMIFS('DETAILED COSTS'!$X$7:$X$126,'DETAILED COSTS'!$B$7:$B$126,$A13,'DETAILED COSTS'!$F$7:$F$126,"WARUNKOWA")+SUMIFS('CLIENT LEGAL AND CYBER'!$O$9:$O$38,'CLIENT LEGAL AND CYBER'!$B$9:$B$38,$A13,'CLIENT LEGAL AND CYBER'!$E$9:$E$38,"WARUNKOWA")</f>
        <v/>
      </c>
      <c r="J124" s="129">
        <f>SUMIFS('DETAILED COSTS'!$X$7:$X$126,'DETAILED COSTS'!$B$7:$B$126,$A14,'DETAILED COSTS'!$F$7:$F$126,"WARUNKOWA")+SUMIFS('CLIENT LEGAL AND CYBER'!$O$9:$O$38,'CLIENT LEGAL AND CYBER'!$B$9:$B$38,$A14,'CLIENT LEGAL AND CYBER'!$E$9:$E$38,"WARUNKOWA")</f>
        <v/>
      </c>
    </row>
    <row r="125" ht="18" customHeight="1" s="95">
      <c r="A125" s="121" t="inlineStr">
        <is>
          <t>Potential recoveries (informative) – low</t>
        </is>
      </c>
      <c r="B125" s="122" t="inlineStr">
        <is>
          <t>PLN</t>
        </is>
      </c>
      <c r="C125" s="129">
        <f>SUMIFS('DETAILED COSTS'!$V$7:$V$126,'DETAILED COSTS'!$B$7:$B$126,$A7,'DETAILED COSTS'!$F$7:$F$126,"ODZYSK")</f>
        <v/>
      </c>
      <c r="D125" s="129">
        <f>SUMIFS('DETAILED COSTS'!$V$7:$V$126,'DETAILED COSTS'!$B$7:$B$126,$A8,'DETAILED COSTS'!$F$7:$F$126,"ODZYSK")</f>
        <v/>
      </c>
      <c r="E125" s="129">
        <f>SUMIFS('DETAILED COSTS'!$V$7:$V$126,'DETAILED COSTS'!$B$7:$B$126,$A9,'DETAILED COSTS'!$F$7:$F$126,"ODZYSK")</f>
        <v/>
      </c>
      <c r="F125" s="129">
        <f>SUMIFS('DETAILED COSTS'!$V$7:$V$126,'DETAILED COSTS'!$B$7:$B$126,$A10,'DETAILED COSTS'!$F$7:$F$126,"ODZYSK")</f>
        <v/>
      </c>
      <c r="G125" s="129">
        <f>SUMIFS('DETAILED COSTS'!$V$7:$V$126,'DETAILED COSTS'!$B$7:$B$126,$A11,'DETAILED COSTS'!$F$7:$F$126,"ODZYSK")</f>
        <v/>
      </c>
      <c r="H125" s="129">
        <f>SUMIFS('DETAILED COSTS'!$V$7:$V$126,'DETAILED COSTS'!$B$7:$B$126,$A12,'DETAILED COSTS'!$F$7:$F$126,"ODZYSK")</f>
        <v/>
      </c>
      <c r="I125" s="129">
        <f>SUMIFS('DETAILED COSTS'!$V$7:$V$126,'DETAILED COSTS'!$B$7:$B$126,$A13,'DETAILED COSTS'!$F$7:$F$126,"ODZYSK")</f>
        <v/>
      </c>
      <c r="J125" s="129">
        <f>SUMIFS('DETAILED COSTS'!$V$7:$V$126,'DETAILED COSTS'!$B$7:$B$126,$A14,'DETAILED COSTS'!$F$7:$F$126,"ODZYSK")</f>
        <v/>
      </c>
    </row>
    <row r="126" ht="18" customHeight="1" s="95">
      <c r="A126" s="130" t="inlineStr">
        <is>
          <t>Potential recoveries (informative) - base</t>
        </is>
      </c>
      <c r="B126" s="122" t="inlineStr">
        <is>
          <t>PLN</t>
        </is>
      </c>
      <c r="C126" s="155">
        <f>SUMIFS('DETAILED COSTS'!$W$7:$W$126,'DETAILED COSTS'!$B$7:$B$126,$A7,'DETAILED COSTS'!$F$7:$F$126,"ODZYSK")</f>
        <v/>
      </c>
      <c r="D126" s="155">
        <f>SUMIFS('DETAILED COSTS'!$W$7:$W$126,'DETAILED COSTS'!$B$7:$B$126,$A8,'DETAILED COSTS'!$F$7:$F$126,"ODZYSK")</f>
        <v/>
      </c>
      <c r="E126" s="155">
        <f>SUMIFS('DETAILED COSTS'!$W$7:$W$126,'DETAILED COSTS'!$B$7:$B$126,$A9,'DETAILED COSTS'!$F$7:$F$126,"ODZYSK")</f>
        <v/>
      </c>
      <c r="F126" s="155">
        <f>SUMIFS('DETAILED COSTS'!$W$7:$W$126,'DETAILED COSTS'!$B$7:$B$126,$A10,'DETAILED COSTS'!$F$7:$F$126,"ODZYSK")</f>
        <v/>
      </c>
      <c r="G126" s="155">
        <f>SUMIFS('DETAILED COSTS'!$W$7:$W$126,'DETAILED COSTS'!$B$7:$B$126,$A11,'DETAILED COSTS'!$F$7:$F$126,"ODZYSK")</f>
        <v/>
      </c>
      <c r="H126" s="155">
        <f>SUMIFS('DETAILED COSTS'!$W$7:$W$126,'DETAILED COSTS'!$B$7:$B$126,$A12,'DETAILED COSTS'!$F$7:$F$126,"ODZYSK")</f>
        <v/>
      </c>
      <c r="I126" s="155">
        <f>SUMIFS('DETAILED COSTS'!$W$7:$W$126,'DETAILED COSTS'!$B$7:$B$126,$A13,'DETAILED COSTS'!$F$7:$F$126,"ODZYSK")</f>
        <v/>
      </c>
      <c r="J126" s="155">
        <f>SUMIFS('DETAILED COSTS'!$W$7:$W$126,'DETAILED COSTS'!$B$7:$B$126,$A14,'DETAILED COSTS'!$F$7:$F$126,"ODZYSK")</f>
        <v/>
      </c>
    </row>
    <row r="127" ht="18" customHeight="1" s="95">
      <c r="A127" s="121" t="inlineStr">
        <is>
          <t>Potential recoveries (informative) – high</t>
        </is>
      </c>
      <c r="B127" s="122" t="inlineStr">
        <is>
          <t>PLN</t>
        </is>
      </c>
      <c r="C127" s="129">
        <f>SUMIFS('DETAILED COSTS'!$X$7:$X$126,'DETAILED COSTS'!$B$7:$B$126,$A7,'DETAILED COSTS'!$F$7:$F$126,"ODZYSK")</f>
        <v/>
      </c>
      <c r="D127" s="129">
        <f>SUMIFS('DETAILED COSTS'!$X$7:$X$126,'DETAILED COSTS'!$B$7:$B$126,$A8,'DETAILED COSTS'!$F$7:$F$126,"ODZYSK")</f>
        <v/>
      </c>
      <c r="E127" s="129">
        <f>SUMIFS('DETAILED COSTS'!$X$7:$X$126,'DETAILED COSTS'!$B$7:$B$126,$A9,'DETAILED COSTS'!$F$7:$F$126,"ODZYSK")</f>
        <v/>
      </c>
      <c r="F127" s="129">
        <f>SUMIFS('DETAILED COSTS'!$X$7:$X$126,'DETAILED COSTS'!$B$7:$B$126,$A10,'DETAILED COSTS'!$F$7:$F$126,"ODZYSK")</f>
        <v/>
      </c>
      <c r="G127" s="129">
        <f>SUMIFS('DETAILED COSTS'!$X$7:$X$126,'DETAILED COSTS'!$B$7:$B$126,$A11,'DETAILED COSTS'!$F$7:$F$126,"ODZYSK")</f>
        <v/>
      </c>
      <c r="H127" s="129">
        <f>SUMIFS('DETAILED COSTS'!$X$7:$X$126,'DETAILED COSTS'!$B$7:$B$126,$A12,'DETAILED COSTS'!$F$7:$F$126,"ODZYSK")</f>
        <v/>
      </c>
      <c r="I127" s="129">
        <f>SUMIFS('DETAILED COSTS'!$X$7:$X$126,'DETAILED COSTS'!$B$7:$B$126,$A13,'DETAILED COSTS'!$F$7:$F$126,"ODZYSK")</f>
        <v/>
      </c>
      <c r="J127" s="129">
        <f>SUMIFS('DETAILED COSTS'!$X$7:$X$126,'DETAILED COSTS'!$B$7:$B$126,$A14,'DETAILED COSTS'!$F$7:$F$126,"ODZYSK")</f>
        <v/>
      </c>
    </row>
    <row r="128" ht="18" customHeight="1" s="95">
      <c r="A128" s="130" t="inlineStr">
        <is>
          <t>IMPACT ON P&amp;L – low</t>
        </is>
      </c>
      <c r="B128" s="122" t="inlineStr">
        <is>
          <t>PLN</t>
        </is>
      </c>
      <c r="C128" s="155">
        <f>ROUND(C98+C104+C107+C116+C119,2)</f>
        <v/>
      </c>
      <c r="D128" s="155">
        <f>ROUND(D98+D104+D107+D116+D119,2)</f>
        <v/>
      </c>
      <c r="E128" s="155">
        <f>ROUND(E98+E104+E107+E116+E119,2)</f>
        <v/>
      </c>
      <c r="F128" s="155">
        <f>ROUND(F98+F104+F107+F116+F119,2)</f>
        <v/>
      </c>
      <c r="G128" s="155">
        <f>ROUND(G98+G104+G107+G116+G119,2)</f>
        <v/>
      </c>
      <c r="H128" s="155">
        <f>ROUND(H98+H104+H107+H116+H119,2)</f>
        <v/>
      </c>
      <c r="I128" s="155">
        <f>ROUND(I98+I104+I107+I116+I119,2)</f>
        <v/>
      </c>
      <c r="J128" s="155">
        <f>ROUND(J98+J104+J107+J116+J119,2)</f>
        <v/>
      </c>
    </row>
    <row r="129" ht="18" customHeight="1" s="95">
      <c r="A129" s="130" t="inlineStr">
        <is>
          <t>IMPACT ON FINANCIAL RESULT (P&amp;L) - base</t>
        </is>
      </c>
      <c r="B129" s="122" t="inlineStr">
        <is>
          <t>PLN</t>
        </is>
      </c>
      <c r="C129" s="155">
        <f>ROUND(C99+C105+C108+C117+C120,2)</f>
        <v/>
      </c>
      <c r="D129" s="155">
        <f>ROUND(D99+D105+D108+D117+D120,2)</f>
        <v/>
      </c>
      <c r="E129" s="155">
        <f>ROUND(E99+E105+E108+E117+E120,2)</f>
        <v/>
      </c>
      <c r="F129" s="155">
        <f>ROUND(F99+F105+F108+F117+F120,2)</f>
        <v/>
      </c>
      <c r="G129" s="155">
        <f>ROUND(G99+G105+G108+G117+G120,2)</f>
        <v/>
      </c>
      <c r="H129" s="155">
        <f>ROUND(H99+H105+H108+H117+H120,2)</f>
        <v/>
      </c>
      <c r="I129" s="155">
        <f>ROUND(I99+I105+I108+I117+I120,2)</f>
        <v/>
      </c>
      <c r="J129" s="155">
        <f>ROUND(J99+J105+J108+J117+J120,2)</f>
        <v/>
      </c>
    </row>
    <row r="130" ht="18" customHeight="1" s="95">
      <c r="A130" s="130" t="inlineStr">
        <is>
          <t>IMPACT ON FINANCIAL RESULT (P&amp;L) - high</t>
        </is>
      </c>
      <c r="B130" s="122" t="inlineStr">
        <is>
          <t>PLN</t>
        </is>
      </c>
      <c r="C130" s="155">
        <f>ROUND(C100+C106+C109+C118+C121,2)</f>
        <v/>
      </c>
      <c r="D130" s="155">
        <f>ROUND(D100+D106+D109+D118+D121,2)</f>
        <v/>
      </c>
      <c r="E130" s="155">
        <f>ROUND(E100+E106+E109+E118+E121,2)</f>
        <v/>
      </c>
      <c r="F130" s="155">
        <f>ROUND(F100+F106+F109+F118+F121,2)</f>
        <v/>
      </c>
      <c r="G130" s="155">
        <f>ROUND(G100+G106+G109+G118+G121,2)</f>
        <v/>
      </c>
      <c r="H130" s="155">
        <f>ROUND(H100+H106+H109+H118+H121,2)</f>
        <v/>
      </c>
      <c r="I130" s="155">
        <f>ROUND(I100+I106+I109+I118+I121,2)</f>
        <v/>
      </c>
      <c r="J130" s="155">
        <f>ROUND(J100+J106+J109+J118+J121,2)</f>
        <v/>
      </c>
    </row>
    <row r="131" ht="18" customHeight="1" s="95">
      <c r="A131" s="130" t="inlineStr">
        <is>
          <t>LOST OPERATIONAL CAPABILITY - Low</t>
        </is>
      </c>
      <c r="B131" s="122" t="inlineStr">
        <is>
          <t>PLN</t>
        </is>
      </c>
      <c r="C131" s="155">
        <f>ROUND(C101+C110+C113,2)</f>
        <v/>
      </c>
      <c r="D131" s="155">
        <f>ROUND(D101+D110+D113,2)</f>
        <v/>
      </c>
      <c r="E131" s="155">
        <f>ROUND(E101+E110+E113,2)</f>
        <v/>
      </c>
      <c r="F131" s="155">
        <f>ROUND(F101+F110+F113,2)</f>
        <v/>
      </c>
      <c r="G131" s="155">
        <f>ROUND(G101+G110+G113,2)</f>
        <v/>
      </c>
      <c r="H131" s="155">
        <f>ROUND(H101+H110+H113,2)</f>
        <v/>
      </c>
      <c r="I131" s="155">
        <f>ROUND(I101+I110+I113,2)</f>
        <v/>
      </c>
      <c r="J131" s="155">
        <f>ROUND(J101+J110+J113,2)</f>
        <v/>
      </c>
    </row>
    <row r="132" ht="18" customHeight="1" s="95">
      <c r="A132" s="130" t="inlineStr">
        <is>
          <t>LOST OPERATING CAPABILITY - Baseline</t>
        </is>
      </c>
      <c r="B132" s="122" t="inlineStr">
        <is>
          <t>PLN</t>
        </is>
      </c>
      <c r="C132" s="155">
        <f>ROUND(C102+C111+C114,2)</f>
        <v/>
      </c>
      <c r="D132" s="155">
        <f>ROUND(D102+D111+D114,2)</f>
        <v/>
      </c>
      <c r="E132" s="155">
        <f>ROUND(E102+E111+E114,2)</f>
        <v/>
      </c>
      <c r="F132" s="155">
        <f>ROUND(F102+F111+F114,2)</f>
        <v/>
      </c>
      <c r="G132" s="155">
        <f>ROUND(G102+G111+G114,2)</f>
        <v/>
      </c>
      <c r="H132" s="155">
        <f>ROUND(H102+H111+H114,2)</f>
        <v/>
      </c>
      <c r="I132" s="155">
        <f>ROUND(I102+I111+I114,2)</f>
        <v/>
      </c>
      <c r="J132" s="155">
        <f>ROUND(J102+J111+J114,2)</f>
        <v/>
      </c>
    </row>
    <row r="133" ht="18" customHeight="1" s="95">
      <c r="A133" s="130" t="inlineStr">
        <is>
          <t>LOST OPERATING CAPABILITY - High</t>
        </is>
      </c>
      <c r="B133" s="122" t="inlineStr">
        <is>
          <t>PLN</t>
        </is>
      </c>
      <c r="C133" s="155">
        <f>ROUND(C103+C112+C115,2)</f>
        <v/>
      </c>
      <c r="D133" s="155">
        <f>ROUND(D103+D112+D115,2)</f>
        <v/>
      </c>
      <c r="E133" s="155">
        <f>ROUND(E103+E112+E115,2)</f>
        <v/>
      </c>
      <c r="F133" s="155">
        <f>ROUND(F103+F112+F115,2)</f>
        <v/>
      </c>
      <c r="G133" s="155">
        <f>ROUND(G103+G112+G115,2)</f>
        <v/>
      </c>
      <c r="H133" s="155">
        <f>ROUND(H103+H112+H115,2)</f>
        <v/>
      </c>
      <c r="I133" s="155">
        <f>ROUND(I103+I112+I115,2)</f>
        <v/>
      </c>
      <c r="J133" s="155">
        <f>ROUND(J103+J112+J115,2)</f>
        <v/>
      </c>
    </row>
    <row r="134" ht="18" customHeight="1" s="95">
      <c r="A134" s="130" t="inlineStr">
        <is>
          <t>CASH COST (Incremental) - Low</t>
        </is>
      </c>
      <c r="B134" s="122" t="inlineStr">
        <is>
          <t>PLN</t>
        </is>
      </c>
      <c r="C134" s="155">
        <f>ROUND(C104+C116+C119,2)</f>
        <v/>
      </c>
      <c r="D134" s="155">
        <f>ROUND(D104+D116+D119,2)</f>
        <v/>
      </c>
      <c r="E134" s="155">
        <f>ROUND(E104+E116+E119,2)</f>
        <v/>
      </c>
      <c r="F134" s="155">
        <f>ROUND(F104+F116+F119,2)</f>
        <v/>
      </c>
      <c r="G134" s="155">
        <f>ROUND(G104+G116+G119,2)</f>
        <v/>
      </c>
      <c r="H134" s="155">
        <f>ROUND(H104+H116+H119,2)</f>
        <v/>
      </c>
      <c r="I134" s="155">
        <f>ROUND(I104+I116+I119,2)</f>
        <v/>
      </c>
      <c r="J134" s="155">
        <f>ROUND(J104+J116+J119,2)</f>
        <v/>
      </c>
    </row>
    <row r="135" ht="18" customHeight="1" s="95">
      <c r="A135" s="130" t="inlineStr">
        <is>
          <t>CASH COST (Incremental) - Base</t>
        </is>
      </c>
      <c r="B135" s="122" t="inlineStr">
        <is>
          <t>PLN</t>
        </is>
      </c>
      <c r="C135" s="155">
        <f>ROUND(C105+C117+C120,2)</f>
        <v/>
      </c>
      <c r="D135" s="155">
        <f>ROUND(D105+D117+D120,2)</f>
        <v/>
      </c>
      <c r="E135" s="155">
        <f>ROUND(E105+E117+E120,2)</f>
        <v/>
      </c>
      <c r="F135" s="155">
        <f>ROUND(F105+F117+F120,2)</f>
        <v/>
      </c>
      <c r="G135" s="155">
        <f>ROUND(G105+G117+G120,2)</f>
        <v/>
      </c>
      <c r="H135" s="155">
        <f>ROUND(H105+H117+H120,2)</f>
        <v/>
      </c>
      <c r="I135" s="155">
        <f>ROUND(I105+I117+I120,2)</f>
        <v/>
      </c>
      <c r="J135" s="155">
        <f>ROUND(J105+J117+J120,2)</f>
        <v/>
      </c>
    </row>
    <row r="136" ht="18" customHeight="1" s="95">
      <c r="A136" s="130" t="inlineStr">
        <is>
          <t>CASH COST (Incremental) - High</t>
        </is>
      </c>
      <c r="B136" s="122" t="inlineStr">
        <is>
          <t>PLN</t>
        </is>
      </c>
      <c r="C136" s="155">
        <f>ROUND(C106+C118+C121,2)</f>
        <v/>
      </c>
      <c r="D136" s="155">
        <f>ROUND(D106+D118+D121,2)</f>
        <v/>
      </c>
      <c r="E136" s="155">
        <f>ROUND(E106+E118+E121,2)</f>
        <v/>
      </c>
      <c r="F136" s="155">
        <f>ROUND(F106+F118+F121,2)</f>
        <v/>
      </c>
      <c r="G136" s="155">
        <f>ROUND(G106+G118+G121,2)</f>
        <v/>
      </c>
      <c r="H136" s="155">
        <f>ROUND(H106+H118+H121,2)</f>
        <v/>
      </c>
      <c r="I136" s="155">
        <f>ROUND(I106+I118+I121,2)</f>
        <v/>
      </c>
      <c r="J136" s="155">
        <f>ROUND(J106+J118+J121,2)</f>
        <v/>
      </c>
    </row>
    <row r="137" ht="18" customHeight="1" s="95">
      <c r="A137" s="121" t="inlineStr">
        <is>
          <t>P&amp;L - Time-dependent part (base)</t>
        </is>
      </c>
      <c r="B137" s="122" t="inlineStr">
        <is>
          <t>PLN</t>
        </is>
      </c>
      <c r="C137" s="129">
        <f>ROUND(C99,2)</f>
        <v/>
      </c>
      <c r="D137" s="129">
        <f>ROUND(D99,2)</f>
        <v/>
      </c>
      <c r="E137" s="129">
        <f>ROUND(E99,2)</f>
        <v/>
      </c>
      <c r="F137" s="129">
        <f>ROUND(F99,2)</f>
        <v/>
      </c>
      <c r="G137" s="129">
        <f>ROUND(G99,2)</f>
        <v/>
      </c>
      <c r="H137" s="129">
        <f>ROUND(H99,2)</f>
        <v/>
      </c>
      <c r="I137" s="129">
        <f>ROUND(I99,2)</f>
        <v/>
      </c>
      <c r="J137" s="129">
        <f>ROUND(J99,2)</f>
        <v/>
      </c>
    </row>
    <row r="138" ht="18" customHeight="1" s="95">
      <c r="A138" s="121" t="inlineStr">
        <is>
          <t>P&amp;L - Time-independent part (base)</t>
        </is>
      </c>
      <c r="B138" s="122" t="inlineStr">
        <is>
          <t>PLN</t>
        </is>
      </c>
      <c r="C138" s="129">
        <f>ROUND(C129-C99,2)</f>
        <v/>
      </c>
      <c r="D138" s="129">
        <f>ROUND(D129-D99,2)</f>
        <v/>
      </c>
      <c r="E138" s="129">
        <f>ROUND(E129-E99,2)</f>
        <v/>
      </c>
      <c r="F138" s="129">
        <f>ROUND(F129-F99,2)</f>
        <v/>
      </c>
      <c r="G138" s="129">
        <f>ROUND(G129-G99,2)</f>
        <v/>
      </c>
      <c r="H138" s="129">
        <f>ROUND(H129-H99,2)</f>
        <v/>
      </c>
      <c r="I138" s="129">
        <f>ROUND(I129-I99,2)</f>
        <v/>
      </c>
      <c r="J138" s="129">
        <f>ROUND(J129-J99,2)</f>
        <v/>
      </c>
    </row>
    <row r="139" ht="18" customHeight="1" s="95">
      <c r="A139" s="130" t="inlineStr">
        <is>
          <t>Expected Annual Loss (P&amp;L) - Low</t>
        </is>
      </c>
      <c r="B139" s="122" t="inlineStr">
        <is>
          <t>PLN/year</t>
        </is>
      </c>
      <c r="C139" s="155">
        <f>IF($E7&lt;&gt;"TAK",0,ROUND(C128*$G7,2))</f>
        <v/>
      </c>
      <c r="D139" s="155">
        <f>IF($E8&lt;&gt;"TAK",0,ROUND(D128*$G8,2))</f>
        <v/>
      </c>
      <c r="E139" s="155">
        <f>IF($E9&lt;&gt;"TAK",0,ROUND(E128*$G9,2))</f>
        <v/>
      </c>
      <c r="F139" s="155">
        <f>IF($E10&lt;&gt;"TAK",0,ROUND(F128*$G10,2))</f>
        <v/>
      </c>
      <c r="G139" s="155">
        <f>IF($E11&lt;&gt;"TAK",0,ROUND(G128*$G11,2))</f>
        <v/>
      </c>
      <c r="H139" s="155">
        <f>IF($E12&lt;&gt;"TAK",0,ROUND(H128*$G12,2))</f>
        <v/>
      </c>
      <c r="I139" s="155">
        <f>IF($E13&lt;&gt;"TAK",0,ROUND(I128*$G13,2))</f>
        <v/>
      </c>
      <c r="J139" s="155">
        <f>IF($E14&lt;&gt;"TAK",0,ROUND(J128*$G14,2))</f>
        <v/>
      </c>
    </row>
    <row r="140" ht="18" customHeight="1" s="95">
      <c r="A140" s="130" t="inlineStr">
        <is>
          <t>Expected Annual Loss (P&amp;L) - Baseline</t>
        </is>
      </c>
      <c r="B140" s="122" t="inlineStr">
        <is>
          <t>PLN/year</t>
        </is>
      </c>
      <c r="C140" s="155">
        <f>IF($E7&lt;&gt;"TAK",0,ROUND(C129*$H7,2))</f>
        <v/>
      </c>
      <c r="D140" s="155">
        <f>IF($E8&lt;&gt;"TAK",0,ROUND(D129*$H8,2))</f>
        <v/>
      </c>
      <c r="E140" s="155">
        <f>IF($E9&lt;&gt;"TAK",0,ROUND(E129*$H9,2))</f>
        <v/>
      </c>
      <c r="F140" s="155">
        <f>IF($E10&lt;&gt;"TAK",0,ROUND(F129*$H10,2))</f>
        <v/>
      </c>
      <c r="G140" s="155">
        <f>IF($E11&lt;&gt;"TAK",0,ROUND(G129*$H11,2))</f>
        <v/>
      </c>
      <c r="H140" s="155">
        <f>IF($E12&lt;&gt;"TAK",0,ROUND(H129*$H12,2))</f>
        <v/>
      </c>
      <c r="I140" s="155">
        <f>IF($E13&lt;&gt;"TAK",0,ROUND(I129*$H13,2))</f>
        <v/>
      </c>
      <c r="J140" s="155">
        <f>IF($E14&lt;&gt;"TAK",0,ROUND(J129*$H14,2))</f>
        <v/>
      </c>
    </row>
    <row r="141" ht="18" customHeight="1" s="95">
      <c r="A141" s="130" t="inlineStr">
        <is>
          <t>Expected Annual Loss (P&amp;L) - High</t>
        </is>
      </c>
      <c r="B141" s="122" t="inlineStr">
        <is>
          <t>PLN/year</t>
        </is>
      </c>
      <c r="C141" s="155">
        <f>IF($E7&lt;&gt;"TAK",0,ROUND(C130*$I7,2))</f>
        <v/>
      </c>
      <c r="D141" s="155">
        <f>IF($E8&lt;&gt;"TAK",0,ROUND(D130*$I8,2))</f>
        <v/>
      </c>
      <c r="E141" s="155">
        <f>IF($E9&lt;&gt;"TAK",0,ROUND(E130*$I9,2))</f>
        <v/>
      </c>
      <c r="F141" s="155">
        <f>IF($E10&lt;&gt;"TAK",0,ROUND(F130*$I10,2))</f>
        <v/>
      </c>
      <c r="G141" s="155">
        <f>IF($E11&lt;&gt;"TAK",0,ROUND(G130*$I11,2))</f>
        <v/>
      </c>
      <c r="H141" s="155">
        <f>IF($E12&lt;&gt;"TAK",0,ROUND(H130*$I12,2))</f>
        <v/>
      </c>
      <c r="I141" s="155">
        <f>IF($E13&lt;&gt;"TAK",0,ROUND(I130*$I13,2))</f>
        <v/>
      </c>
      <c r="J141" s="155">
        <f>IF($E14&lt;&gt;"TAK",0,ROUND(J130*$I14,2))</f>
        <v/>
      </c>
    </row>
    <row r="142"/>
    <row r="143" ht="30" customHeight="1" s="95">
      <c r="A143" s="138" t="inlineStr">
        <is>
          <t>We do NOT add up perspectives vertically. “Impact on P&amp;L”, “Lost Operational Capacity”, “Cash Cost” and “Contingent Exposures” describe the same situation from four different angles. The cash cost is already included in the P&amp;L impact - it's not a separate loss to add.</t>
        </is>
      </c>
    </row>
  </sheetData>
  <mergeCells count="4">
    <mergeCell ref="A3:J3"/>
    <mergeCell ref="A143:J143"/>
    <mergeCell ref="A31:J31"/>
    <mergeCell ref="A2:J2"/>
  </mergeCells>
  <dataValidations count="7">
    <dataValidation sqref="C7:C14" showDropDown="0" showInputMessage="0" showErrorMessage="0" allowBlank="1" errorTitle="Wartość spoza listy" error="Wybierz wartość z listy." type="list" errorStyle="stop" operator="between">
      <formula1>'LISTY POMOCNICZE'!$E$8:$E$19</formula1>
      <formula2>0</formula2>
    </dataValidation>
    <dataValidation sqref="E7:E14" showDropDown="0" showInputMessage="0" showErrorMessage="0" allowBlank="1" errorTitle="Wartość spoza listy" error="Wybierz wartość z listy." type="list" errorStyle="stop" operator="between">
      <formula1>'LISTY POMOCNICZE'!$I$8:$I$9</formula1>
      <formula2>0</formula2>
    </dataValidation>
    <dataValidation sqref="F7:F14" showDropDown="0" showInputMessage="0" showErrorMessage="0" allowBlank="1" errorTitle="Wartość spoza listy" error="Wybierz wartość z listy." type="list" errorStyle="stop" operator="between">
      <formula1>'LISTY POMOCNICZE'!$J$8:$J$9</formula1>
      <formula2>0</formula2>
    </dataValidation>
    <dataValidation sqref="G7:I14" showDropDown="0" showInputMessage="0" showErrorMessage="0" allowBlank="1" errorTitle="Wartość nieprawidłowa" error="Podaj liczbę nie mniejszą niż 0." type="decimal" errorStyle="stop" operator="greaterThanOrEqual">
      <formula1>0</formula1>
      <formula2>0</formula2>
    </dataValidation>
    <dataValidation sqref="C19:J30" showDropDown="0" showInputMessage="0" showErrorMessage="0" allowBlank="1" errorTitle="Procent poza zakresem" error="Podaj wartość od 0% do 100%." type="decimal" errorStyle="stop" operator="between">
      <formula1>0</formula1>
      <formula2>1</formula2>
    </dataValidation>
    <dataValidation sqref="D34:F89" showDropDown="0" showInputMessage="0" showErrorMessage="0" allowBlank="1" errorTitle="Wartość nieprawidłowa" error="Podaj liczbę nie mniejszą niż 0." type="decimal" errorStyle="stop" operator="greaterThanOrEqual">
      <formula1>0</formula1>
      <formula2>0</formula2>
    </dataValidation>
    <dataValidation sqref="G34:H89" showDropDown="0" showInputMessage="0" showErrorMessage="0" allowBlank="1" errorTitle="Procent poza zakresem" error="Podaj wartość od 0% do 100%." type="decimal" errorStyle="stop" operator="between">
      <formula1>0</formula1>
      <formula2>1</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7.xml><?xml version="1.0" encoding="utf-8"?>
<worksheet xmlns="http://schemas.openxmlformats.org/spreadsheetml/2006/main">
  <sheetPr filterMode="0">
    <tabColor rgb="FF0164FF"/>
    <outlinePr summaryBelow="1" summaryRight="1"/>
    <pageSetUpPr fitToPage="0"/>
  </sheetPr>
  <dimension ref="A1:X126"/>
  <sheetViews>
    <sheetView showFormulas="0" showGridLines="0" showRowColHeaders="1" showZeros="1" rightToLeft="0" tabSelected="0" showOutlineSymbols="1" defaultGridColor="1" view="normal" topLeftCell="A1" colorId="64" zoomScale="100" zoomScaleNormal="100" zoomScalePageLayoutView="100" workbookViewId="0">
      <pane xSplit="4" ySplit="6" topLeftCell="E7" activePane="bottomRight" state="frozen"/>
      <selection pane="topLeft" activeCell="A1" activeCellId="0" sqref="A1"/>
      <selection pane="topRight" activeCell="E1" activeCellId="0" sqref="E1"/>
      <selection pane="bottomLeft" activeCell="A7" activeCellId="0" sqref="A7"/>
      <selection pane="bottomRight" activeCell="A1" activeCellId="0" sqref="A1"/>
    </sheetView>
  </sheetViews>
  <sheetFormatPr baseColWidth="8" defaultColWidth="8.6796875" defaultRowHeight="15" customHeight="0" zeroHeight="0" outlineLevelRow="0"/>
  <cols>
    <col width="9" customWidth="1" style="94" min="1" max="1"/>
    <col width="11" customWidth="1" style="94" min="2" max="2"/>
    <col width="12" customWidth="1" style="94" min="3" max="3"/>
    <col width="26" customWidth="1" style="94" min="4" max="4"/>
    <col width="42" customWidth="1" style="94" min="5" max="5"/>
    <col width="13" customWidth="1" style="94" min="6" max="6"/>
    <col width="22" customWidth="1" style="94" min="7" max="7"/>
    <col width="11" customWidth="1" style="94" min="8" max="11"/>
    <col width="12" customWidth="1" style="94" min="12" max="14"/>
    <col width="18" customWidth="1" style="94" min="15" max="15"/>
    <col width="22" customWidth="1" style="94" min="16" max="16"/>
    <col width="10" customWidth="1" style="94" min="17" max="17"/>
    <col width="18" customWidth="1" style="94" min="18" max="18"/>
    <col width="14" customWidth="1" style="94" min="19" max="19"/>
    <col width="12" customWidth="1" style="94" min="20" max="20"/>
    <col width="30" customWidth="1" style="94" min="21" max="21"/>
    <col width="14" customWidth="1" style="94" min="22" max="24"/>
  </cols>
  <sheetData>
    <row r="1" ht="15" customHeight="1" s="95">
      <c r="A1" s="116" t="inlineStr">
        <is>
          <t>NexaIT</t>
        </is>
      </c>
    </row>
    <row r="2" ht="24" customHeight="1" s="95">
      <c r="A2" s="117" t="inlineStr">
        <is>
          <t>Detailed costs</t>
        </is>
      </c>
    </row>
    <row r="3" ht="56.25" customHeight="1" s="95">
      <c r="A3" s="118" t="inlineStr">
        <is>
          <t>Cost item register. Each row has a perspective, source, confidence level, and an output input flag. Items with ready-made descriptions are hints - complete only those that actually apply to you and change "Includes in the result" to YES.</t>
        </is>
      </c>
    </row>
    <row r="4" ht="30" customHeight="1" s="95">
      <c r="A4" s="138" t="inlineStr">
        <is>
          <t>Lost margin and lost operating capacity are calculated automatically by the engine (PROCESSES + SCENARIOS tabs). DO NOT re-enter them here - this is the most common source of double counting.</t>
        </is>
      </c>
    </row>
    <row r="5" ht="19.5" customHeight="1" s="95">
      <c r="A5" s="99" t="inlineStr">
        <is>
          <t xml:space="preserve">  COST ITEM REGISTER (120 lines)</t>
        </is>
      </c>
      <c r="B5" s="100" t="n"/>
      <c r="C5" s="100" t="n"/>
      <c r="D5" s="100" t="n"/>
      <c r="E5" s="100" t="n"/>
      <c r="F5" s="100" t="n"/>
      <c r="G5" s="100" t="n"/>
      <c r="H5" s="100" t="n"/>
      <c r="I5" s="100" t="n"/>
      <c r="J5" s="100" t="n"/>
      <c r="K5" s="100" t="n"/>
      <c r="L5" s="100" t="n"/>
      <c r="M5" s="100" t="n"/>
      <c r="N5" s="100" t="n"/>
      <c r="O5" s="100" t="n"/>
      <c r="P5" s="100" t="n"/>
      <c r="Q5" s="100" t="n"/>
      <c r="R5" s="100" t="n"/>
      <c r="S5" s="100" t="n"/>
      <c r="T5" s="100" t="n"/>
      <c r="U5" s="100" t="n"/>
      <c r="V5" s="100" t="n"/>
      <c r="W5" s="100" t="n"/>
      <c r="X5" s="100" t="n"/>
    </row>
    <row r="6" ht="42" customHeight="1" s="95">
      <c r="A6" s="119" t="inlineStr">
        <is>
          <t>cost_id</t>
        </is>
      </c>
      <c r="B6" s="119" t="inlineStr">
        <is>
          <t>Scenario</t>
        </is>
      </c>
      <c r="C6" s="119" t="inlineStr">
        <is>
          <t>Process/Location</t>
        </is>
      </c>
      <c r="D6" s="119" t="inlineStr">
        <is>
          <t>Category</t>
        </is>
      </c>
      <c r="E6" s="119" t="inlineStr">
        <is>
          <t>Subcategory - description of the item</t>
        </is>
      </c>
      <c r="F6" s="119" t="inlineStr">
        <is>
          <t>Perspective</t>
        </is>
      </c>
      <c r="G6" s="119" t="inlineStr">
        <is>
          <t>Calculation method</t>
        </is>
      </c>
      <c r="H6" s="119" t="inlineStr">
        <is>
          <t>Unit</t>
        </is>
      </c>
      <c r="I6" s="119" t="inlineStr">
        <is>
          <t>Quantity - Low</t>
        </is>
      </c>
      <c r="J6" s="119" t="inlineStr">
        <is>
          <t>Quantity - Base</t>
        </is>
      </c>
      <c r="K6" s="119" t="inlineStr">
        <is>
          <t>Quantity - High</t>
        </is>
      </c>
      <c r="L6" s="119" t="inlineStr">
        <is>
          <t>Stakes - Low</t>
        </is>
      </c>
      <c r="M6" s="119" t="inlineStr">
        <is>
          <t>Rate - Base</t>
        </is>
      </c>
      <c r="N6" s="119" t="inlineStr">
        <is>
          <t>The stakes are high</t>
        </is>
      </c>
      <c r="O6" s="119" t="inlineStr">
        <is>
          <t>Value class</t>
        </is>
      </c>
      <c r="P6" s="119" t="inlineStr">
        <is>
          <t>Source</t>
        </is>
      </c>
      <c r="Q6" s="119" t="inlineStr">
        <is>
          <t>Confidence</t>
        </is>
      </c>
      <c r="R6" s="119" t="inlineStr">
        <is>
          <t>Exclusion group</t>
        </is>
      </c>
      <c r="S6" s="119" t="inlineStr">
        <is>
          <t>Risk of duplication</t>
        </is>
      </c>
      <c r="T6" s="119" t="inlineStr">
        <is>
          <t>Enters the score</t>
        </is>
      </c>
      <c r="U6" s="119" t="inlineStr">
        <is>
          <t>Memo</t>
        </is>
      </c>
      <c r="V6" s="119" t="inlineStr">
        <is>
          <t>Result - Low</t>
        </is>
      </c>
      <c r="W6" s="119" t="inlineStr">
        <is>
          <t>Result - Baseline</t>
        </is>
      </c>
      <c r="X6" s="119" t="inlineStr">
        <is>
          <t>Score - High</t>
        </is>
      </c>
    </row>
    <row r="7" ht="18" customHeight="1" s="95">
      <c r="A7" s="120" t="inlineStr">
        <is>
          <t>K001</t>
        </is>
      </c>
      <c r="B7" s="127" t="n"/>
      <c r="C7" s="127" t="n"/>
      <c r="D7" s="127" t="inlineStr">
        <is>
          <t>K1 People and productivity</t>
        </is>
      </c>
      <c r="E7" s="127" t="inlineStr">
        <is>
          <t>Overtime and allowances for work outside the schedule</t>
        </is>
      </c>
      <c r="F7" s="127" t="inlineStr">
        <is>
          <t>CASH</t>
        </is>
      </c>
      <c r="G7" s="127" t="inlineStr">
        <is>
          <t>Person-hours × cost per hour</t>
        </is>
      </c>
      <c r="H7" s="127" t="inlineStr">
        <is>
          <t>h</t>
        </is>
      </c>
      <c r="I7" s="124" t="n"/>
      <c r="J7" s="124" t="n"/>
      <c r="K7" s="124" t="n"/>
      <c r="L7" s="124" t="n"/>
      <c r="M7" s="124" t="n"/>
      <c r="N7" s="124" t="n"/>
      <c r="O7" s="127" t="inlineStr">
        <is>
          <t>USER DETAILS</t>
        </is>
      </c>
      <c r="P7" s="127" t="n"/>
      <c r="Q7" s="127" t="n"/>
      <c r="R7" s="127" t="n"/>
      <c r="S7" s="127" t="inlineStr">
        <is>
          <t>None</t>
        </is>
      </c>
      <c r="T7" s="127" t="inlineStr">
        <is>
          <t>NIE</t>
        </is>
      </c>
      <c r="U7" s="127" t="n"/>
      <c r="V7" s="129">
        <f>IF($T7&lt;&gt;"TAK",0,IF($O7="NIEPOLICZONE",0,IFERROR(ROUND(IF($I7="",$J7,$I7)*IF($L7="",$M7,$L7),2),0)))</f>
        <v/>
      </c>
      <c r="W7" s="140">
        <f>IF($T7&lt;&gt;"TAK",0,IF($O7="NIEPOLICZONE",0,IFERROR(ROUND($J7*$M7,2),0)))</f>
        <v/>
      </c>
      <c r="X7" s="129">
        <f>IF($T7&lt;&gt;"TAK",0,IF($O7="NIEPOLICZONE",0,IFERROR(ROUND(IF($K7="",$J7,$K7)*IF($N7="",$M7,$N7),2),0)))</f>
        <v/>
      </c>
    </row>
    <row r="8" ht="18" customHeight="1" s="95">
      <c r="A8" s="120" t="inlineStr">
        <is>
          <t>K002</t>
        </is>
      </c>
      <c r="B8" s="127" t="n"/>
      <c r="C8" s="127" t="n"/>
      <c r="D8" s="127" t="inlineStr">
        <is>
          <t>K1 People and productivity</t>
        </is>
      </c>
      <c r="E8" s="127" t="inlineStr">
        <is>
          <t>Management and manager time spent on the event</t>
        </is>
      </c>
      <c r="F8" s="127" t="inlineStr">
        <is>
          <t>CAPABILITY</t>
        </is>
      </c>
      <c r="G8" s="127" t="inlineStr">
        <is>
          <t>Person-hours × cost per hour</t>
        </is>
      </c>
      <c r="H8" s="127" t="inlineStr">
        <is>
          <t>h</t>
        </is>
      </c>
      <c r="I8" s="124" t="n"/>
      <c r="J8" s="124" t="n"/>
      <c r="K8" s="124" t="n"/>
      <c r="L8" s="124" t="n"/>
      <c r="M8" s="124" t="n"/>
      <c r="N8" s="124" t="n"/>
      <c r="O8" s="127" t="inlineStr">
        <is>
          <t>USER DETAILS</t>
        </is>
      </c>
      <c r="P8" s="127" t="n"/>
      <c r="Q8" s="127" t="n"/>
      <c r="R8" s="127" t="n"/>
      <c r="S8" s="127" t="inlineStr">
        <is>
          <t>None</t>
        </is>
      </c>
      <c r="T8" s="127" t="inlineStr">
        <is>
          <t>NIE</t>
        </is>
      </c>
      <c r="U8" s="127" t="n"/>
      <c r="V8" s="129">
        <f>IF($T8&lt;&gt;"TAK",0,IF($O8="NIEPOLICZONE",0,IFERROR(ROUND(IF($I8="",$J8,$I8)*IF($L8="",$M8,$L8),2),0)))</f>
        <v/>
      </c>
      <c r="W8" s="140">
        <f>IF($T8&lt;&gt;"TAK",0,IF($O8="NIEPOLICZONE",0,IFERROR(ROUND($J8*$M8,2),0)))</f>
        <v/>
      </c>
      <c r="X8" s="129">
        <f>IF($T8&lt;&gt;"TAK",0,IF($O8="NIEPOLICZONE",0,IFERROR(ROUND(IF($K8="",$J8,$K8)*IF($N8="",$M8,$N8),2),0)))</f>
        <v/>
      </c>
    </row>
    <row r="9" ht="18" customHeight="1" s="95">
      <c r="A9" s="120" t="inlineStr">
        <is>
          <t>K003</t>
        </is>
      </c>
      <c r="B9" s="127" t="n"/>
      <c r="C9" s="127" t="n"/>
      <c r="D9" s="127" t="inlineStr">
        <is>
          <t>K1 People and productivity</t>
        </is>
      </c>
      <c r="E9" s="127" t="inlineStr">
        <is>
          <t>Temporary workers and their implementation</t>
        </is>
      </c>
      <c r="F9" s="127" t="inlineStr">
        <is>
          <t>CASH</t>
        </is>
      </c>
      <c r="G9" s="127" t="inlineStr">
        <is>
          <t>Rate × Quantity</t>
        </is>
      </c>
      <c r="H9" s="127" t="inlineStr">
        <is>
          <t>h</t>
        </is>
      </c>
      <c r="I9" s="124" t="n"/>
      <c r="J9" s="124" t="n"/>
      <c r="K9" s="124" t="n"/>
      <c r="L9" s="124" t="n"/>
      <c r="M9" s="124" t="n"/>
      <c r="N9" s="124" t="n"/>
      <c r="O9" s="127" t="inlineStr">
        <is>
          <t>USER DETAILS</t>
        </is>
      </c>
      <c r="P9" s="127" t="n"/>
      <c r="Q9" s="127" t="n"/>
      <c r="R9" s="127" t="n"/>
      <c r="S9" s="127" t="inlineStr">
        <is>
          <t>None</t>
        </is>
      </c>
      <c r="T9" s="127" t="inlineStr">
        <is>
          <t>NIE</t>
        </is>
      </c>
      <c r="U9" s="127" t="n"/>
      <c r="V9" s="129">
        <f>IF($T9&lt;&gt;"TAK",0,IF($O9="NIEPOLICZONE",0,IFERROR(ROUND(IF($I9="",$J9,$I9)*IF($L9="",$M9,$L9),2),0)))</f>
        <v/>
      </c>
      <c r="W9" s="140">
        <f>IF($T9&lt;&gt;"TAK",0,IF($O9="NIEPOLICZONE",0,IFERROR(ROUND($J9*$M9,2),0)))</f>
        <v/>
      </c>
      <c r="X9" s="129">
        <f>IF($T9&lt;&gt;"TAK",0,IF($O9="NIEPOLICZONE",0,IFERROR(ROUND(IF($K9="",$J9,$K9)*IF($N9="",$M9,$N9),2),0)))</f>
        <v/>
      </c>
    </row>
    <row r="10" ht="18" customHeight="1" s="95">
      <c r="A10" s="120" t="inlineStr">
        <is>
          <t>K004</t>
        </is>
      </c>
      <c r="B10" s="127" t="n"/>
      <c r="C10" s="127" t="n"/>
      <c r="D10" s="127" t="inlineStr">
        <is>
          <t>K2 Sales, revenue and margin</t>
        </is>
      </c>
      <c r="E10" s="127" t="inlineStr">
        <is>
          <t>Cancellations and refunds due to an event</t>
        </is>
      </c>
      <c r="F10" s="127" t="inlineStr">
        <is>
          <t>P&amp;L</t>
        </is>
      </c>
      <c r="G10" s="127" t="inlineStr">
        <is>
          <t>Lump sum amount</t>
        </is>
      </c>
      <c r="H10" s="127" t="inlineStr">
        <is>
          <t>PLN</t>
        </is>
      </c>
      <c r="I10" s="124" t="n"/>
      <c r="J10" s="124" t="n"/>
      <c r="K10" s="124" t="n"/>
      <c r="L10" s="124" t="n"/>
      <c r="M10" s="124" t="n"/>
      <c r="N10" s="124" t="n"/>
      <c r="O10" s="127" t="inlineStr">
        <is>
          <t>USER DETAILS</t>
        </is>
      </c>
      <c r="P10" s="127" t="n"/>
      <c r="Q10" s="127" t="n"/>
      <c r="R10" s="127" t="n"/>
      <c r="S10" s="127" t="inlineStr">
        <is>
          <t>None</t>
        </is>
      </c>
      <c r="T10" s="127" t="inlineStr">
        <is>
          <t>NIE</t>
        </is>
      </c>
      <c r="U10" s="127" t="n"/>
      <c r="V10" s="129">
        <f>IF($T10&lt;&gt;"TAK",0,IF($O10="NIEPOLICZONE",0,IFERROR(ROUND(IF($I10="",$J10,$I10)*IF($L10="",$M10,$L10),2),0)))</f>
        <v/>
      </c>
      <c r="W10" s="140">
        <f>IF($T10&lt;&gt;"TAK",0,IF($O10="NIEPOLICZONE",0,IFERROR(ROUND($J10*$M10,2),0)))</f>
        <v/>
      </c>
      <c r="X10" s="129">
        <f>IF($T10&lt;&gt;"TAK",0,IF($O10="NIEPOLICZONE",0,IFERROR(ROUND(IF($K10="",$J10,$K10)*IF($N10="",$M10,$N10),2),0)))</f>
        <v/>
      </c>
    </row>
    <row r="11" ht="18" customHeight="1" s="95">
      <c r="A11" s="120" t="inlineStr">
        <is>
          <t>K005</t>
        </is>
      </c>
      <c r="B11" s="127" t="n"/>
      <c r="C11" s="127" t="n"/>
      <c r="D11" s="127" t="inlineStr">
        <is>
          <t>K2 Sales, revenue and margin</t>
        </is>
      </c>
      <c r="E11" s="127" t="inlineStr">
        <is>
          <t>Discounts and credits given to customers</t>
        </is>
      </c>
      <c r="F11" s="127" t="inlineStr">
        <is>
          <t>CASH</t>
        </is>
      </c>
      <c r="G11" s="127" t="inlineStr">
        <is>
          <t>Lump sum amount</t>
        </is>
      </c>
      <c r="H11" s="127" t="inlineStr">
        <is>
          <t>PLN</t>
        </is>
      </c>
      <c r="I11" s="124" t="n"/>
      <c r="J11" s="124" t="n"/>
      <c r="K11" s="124" t="n"/>
      <c r="L11" s="124" t="n"/>
      <c r="M11" s="124" t="n"/>
      <c r="N11" s="124" t="n"/>
      <c r="O11" s="127" t="inlineStr">
        <is>
          <t>USER DETAILS</t>
        </is>
      </c>
      <c r="P11" s="127" t="n"/>
      <c r="Q11" s="127" t="n"/>
      <c r="R11" s="127" t="n"/>
      <c r="S11" s="127" t="inlineStr">
        <is>
          <t>None</t>
        </is>
      </c>
      <c r="T11" s="127" t="inlineStr">
        <is>
          <t>NIE</t>
        </is>
      </c>
      <c r="U11" s="127" t="n"/>
      <c r="V11" s="129">
        <f>IF($T11&lt;&gt;"TAK",0,IF($O11="NIEPOLICZONE",0,IFERROR(ROUND(IF($I11="",$J11,$I11)*IF($L11="",$M11,$L11),2),0)))</f>
        <v/>
      </c>
      <c r="W11" s="140">
        <f>IF($T11&lt;&gt;"TAK",0,IF($O11="NIEPOLICZONE",0,IFERROR(ROUND($J11*$M11,2),0)))</f>
        <v/>
      </c>
      <c r="X11" s="129">
        <f>IF($T11&lt;&gt;"TAK",0,IF($O11="NIEPOLICZONE",0,IFERROR(ROUND(IF($K11="",$J11,$K11)*IF($N11="",$M11,$N11),2),0)))</f>
        <v/>
      </c>
    </row>
    <row r="12" ht="18" customHeight="1" s="95">
      <c r="A12" s="120" t="inlineStr">
        <is>
          <t>K006</t>
        </is>
      </c>
      <c r="B12" s="127" t="n"/>
      <c r="C12" s="127" t="n"/>
      <c r="D12" s="127" t="inlineStr">
        <is>
          <t>K2 Sales, revenue and margin</t>
        </is>
      </c>
      <c r="E12" s="127" t="inlineStr">
        <is>
          <t>Cost of financing deferred proceeds</t>
        </is>
      </c>
      <c r="F12" s="127" t="inlineStr">
        <is>
          <t>CASH</t>
        </is>
      </c>
      <c r="G12" s="127" t="inlineStr">
        <is>
          <t>Deferral Financing</t>
        </is>
      </c>
      <c r="H12" s="127" t="inlineStr">
        <is>
          <t>PLN</t>
        </is>
      </c>
      <c r="I12" s="124" t="n"/>
      <c r="J12" s="124" t="n"/>
      <c r="K12" s="124" t="n"/>
      <c r="L12" s="124" t="n"/>
      <c r="M12" s="124" t="n"/>
      <c r="N12" s="124" t="n"/>
      <c r="O12" s="127" t="inlineStr">
        <is>
          <t>USER DETAILS</t>
        </is>
      </c>
      <c r="P12" s="127" t="n"/>
      <c r="Q12" s="127" t="n"/>
      <c r="R12" s="127" t="n"/>
      <c r="S12" s="127" t="inlineStr">
        <is>
          <t>None</t>
        </is>
      </c>
      <c r="T12" s="127" t="inlineStr">
        <is>
          <t>NIE</t>
        </is>
      </c>
      <c r="U12" s="127" t="n"/>
      <c r="V12" s="129">
        <f>IF($T12&lt;&gt;"TAK",0,IF($O12="NIEPOLICZONE",0,IFERROR(ROUND(IF($I12="",$J12,$I12)*IF($L12="",$M12,$L12),2),0)))</f>
        <v/>
      </c>
      <c r="W12" s="140">
        <f>IF($T12&lt;&gt;"TAK",0,IF($O12="NIEPOLICZONE",0,IFERROR(ROUND($J12*$M12,2),0)))</f>
        <v/>
      </c>
      <c r="X12" s="129">
        <f>IF($T12&lt;&gt;"TAK",0,IF($O12="NIEPOLICZONE",0,IFERROR(ROUND(IF($K12="",$J12,$K12)*IF($N12="",$M12,$N12),2),0)))</f>
        <v/>
      </c>
    </row>
    <row r="13" ht="18" customHeight="1" s="95">
      <c r="A13" s="120" t="inlineStr">
        <is>
          <t>K007</t>
        </is>
      </c>
      <c r="B13" s="127" t="n"/>
      <c r="C13" s="127" t="n"/>
      <c r="D13" s="127" t="inlineStr">
        <is>
          <t>K3 Production and throughput</t>
        </is>
      </c>
      <c r="E13" s="127" t="inlineStr">
        <is>
          <t>Destroyed WIP, raw materials, scrap, disposal</t>
        </is>
      </c>
      <c r="F13" s="127" t="inlineStr">
        <is>
          <t>P&amp;L</t>
        </is>
      </c>
      <c r="G13" s="127" t="inlineStr">
        <is>
          <t>Rate × Quantity</t>
        </is>
      </c>
      <c r="H13" s="127" t="inlineStr">
        <is>
          <t>pcs.</t>
        </is>
      </c>
      <c r="I13" s="124" t="n"/>
      <c r="J13" s="124" t="n"/>
      <c r="K13" s="124" t="n"/>
      <c r="L13" s="124" t="n"/>
      <c r="M13" s="124" t="n"/>
      <c r="N13" s="124" t="n"/>
      <c r="O13" s="127" t="inlineStr">
        <is>
          <t>USER DETAILS</t>
        </is>
      </c>
      <c r="P13" s="127" t="n"/>
      <c r="Q13" s="127" t="n"/>
      <c r="R13" s="127" t="n"/>
      <c r="S13" s="127" t="inlineStr">
        <is>
          <t>None</t>
        </is>
      </c>
      <c r="T13" s="127" t="inlineStr">
        <is>
          <t>NIE</t>
        </is>
      </c>
      <c r="U13" s="127" t="n"/>
      <c r="V13" s="129">
        <f>IF($T13&lt;&gt;"TAK",0,IF($O13="NIEPOLICZONE",0,IFERROR(ROUND(IF($I13="",$J13,$I13)*IF($L13="",$M13,$L13),2),0)))</f>
        <v/>
      </c>
      <c r="W13" s="140">
        <f>IF($T13&lt;&gt;"TAK",0,IF($O13="NIEPOLICZONE",0,IFERROR(ROUND($J13*$M13,2),0)))</f>
        <v/>
      </c>
      <c r="X13" s="129">
        <f>IF($T13&lt;&gt;"TAK",0,IF($O13="NIEPOLICZONE",0,IFERROR(ROUND(IF($K13="",$J13,$K13)*IF($N13="",$M13,$N13),2),0)))</f>
        <v/>
      </c>
    </row>
    <row r="14" ht="18" customHeight="1" s="95">
      <c r="A14" s="120" t="inlineStr">
        <is>
          <t>K008</t>
        </is>
      </c>
      <c r="B14" s="127" t="n"/>
      <c r="C14" s="127" t="n"/>
      <c r="D14" s="127" t="inlineStr">
        <is>
          <t>K3 Production and throughput</t>
        </is>
      </c>
      <c r="E14" s="127" t="inlineStr">
        <is>
          <t>Retooling, commissioning, calibration, quality control</t>
        </is>
      </c>
      <c r="F14" s="127" t="inlineStr">
        <is>
          <t>CASH</t>
        </is>
      </c>
      <c r="G14" s="127" t="inlineStr">
        <is>
          <t>Person-hours × cost per hour</t>
        </is>
      </c>
      <c r="H14" s="127" t="inlineStr">
        <is>
          <t>h</t>
        </is>
      </c>
      <c r="I14" s="124" t="n"/>
      <c r="J14" s="124" t="n"/>
      <c r="K14" s="124" t="n"/>
      <c r="L14" s="124" t="n"/>
      <c r="M14" s="124" t="n"/>
      <c r="N14" s="124" t="n"/>
      <c r="O14" s="127" t="inlineStr">
        <is>
          <t>USER DETAILS</t>
        </is>
      </c>
      <c r="P14" s="127" t="n"/>
      <c r="Q14" s="127" t="n"/>
      <c r="R14" s="127" t="n"/>
      <c r="S14" s="127" t="inlineStr">
        <is>
          <t>None</t>
        </is>
      </c>
      <c r="T14" s="127" t="inlineStr">
        <is>
          <t>NIE</t>
        </is>
      </c>
      <c r="U14" s="127" t="n"/>
      <c r="V14" s="129">
        <f>IF($T14&lt;&gt;"TAK",0,IF($O14="NIEPOLICZONE",0,IFERROR(ROUND(IF($I14="",$J14,$I14)*IF($L14="",$M14,$L14),2),0)))</f>
        <v/>
      </c>
      <c r="W14" s="140">
        <f>IF($T14&lt;&gt;"TAK",0,IF($O14="NIEPOLICZONE",0,IFERROR(ROUND($J14*$M14,2),0)))</f>
        <v/>
      </c>
      <c r="X14" s="129">
        <f>IF($T14&lt;&gt;"TAK",0,IF($O14="NIEPOLICZONE",0,IFERROR(ROUND(IF($K14="",$J14,$K14)*IF($N14="",$M14,$N14),2),0)))</f>
        <v/>
      </c>
    </row>
    <row r="15" ht="18" customHeight="1" s="95">
      <c r="A15" s="120" t="inlineStr">
        <is>
          <t>K009</t>
        </is>
      </c>
      <c r="B15" s="127" t="n"/>
      <c r="C15" s="127" t="n"/>
      <c r="D15" s="127" t="inlineStr">
        <is>
          <t>K3 Production and throughput</t>
        </is>
      </c>
      <c r="E15" s="127" t="inlineStr">
        <is>
          <t>Emergency production outsourcing</t>
        </is>
      </c>
      <c r="F15" s="127" t="inlineStr">
        <is>
          <t>CASH</t>
        </is>
      </c>
      <c r="G15" s="127" t="inlineStr">
        <is>
          <t>Lump sum amount</t>
        </is>
      </c>
      <c r="H15" s="127" t="inlineStr">
        <is>
          <t>PLN</t>
        </is>
      </c>
      <c r="I15" s="124" t="n"/>
      <c r="J15" s="124" t="n"/>
      <c r="K15" s="124" t="n"/>
      <c r="L15" s="124" t="n"/>
      <c r="M15" s="124" t="n"/>
      <c r="N15" s="124" t="n"/>
      <c r="O15" s="127" t="inlineStr">
        <is>
          <t>USER DETAILS</t>
        </is>
      </c>
      <c r="P15" s="127" t="n"/>
      <c r="Q15" s="127" t="n"/>
      <c r="R15" s="127" t="n"/>
      <c r="S15" s="127" t="inlineStr">
        <is>
          <t>None</t>
        </is>
      </c>
      <c r="T15" s="127" t="inlineStr">
        <is>
          <t>NIE</t>
        </is>
      </c>
      <c r="U15" s="127" t="n"/>
      <c r="V15" s="129">
        <f>IF($T15&lt;&gt;"TAK",0,IF($O15="NIEPOLICZONE",0,IFERROR(ROUND(IF($I15="",$J15,$I15)*IF($L15="",$M15,$L15),2),0)))</f>
        <v/>
      </c>
      <c r="W15" s="140">
        <f>IF($T15&lt;&gt;"TAK",0,IF($O15="NIEPOLICZONE",0,IFERROR(ROUND($J15*$M15,2),0)))</f>
        <v/>
      </c>
      <c r="X15" s="129">
        <f>IF($T15&lt;&gt;"TAK",0,IF($O15="NIEPOLICZONE",0,IFERROR(ROUND(IF($K15="",$J15,$K15)*IF($N15="",$M15,$N15),2),0)))</f>
        <v/>
      </c>
    </row>
    <row r="16" ht="18" customHeight="1" s="95">
      <c r="A16" s="120" t="inlineStr">
        <is>
          <t>K010</t>
        </is>
      </c>
      <c r="B16" s="127" t="n"/>
      <c r="C16" s="127" t="n"/>
      <c r="D16" s="127" t="inlineStr">
        <is>
          <t>K4 Warehouse, logistics and trade</t>
        </is>
      </c>
      <c r="E16" s="127" t="inlineStr">
        <is>
          <t>Express transport and re-addressing of shipments</t>
        </is>
      </c>
      <c r="F16" s="127" t="inlineStr">
        <is>
          <t>CASH</t>
        </is>
      </c>
      <c r="G16" s="127" t="inlineStr">
        <is>
          <t>Rate × Quantity</t>
        </is>
      </c>
      <c r="H16" s="127" t="inlineStr">
        <is>
          <t>pcs.</t>
        </is>
      </c>
      <c r="I16" s="124" t="n"/>
      <c r="J16" s="124" t="n"/>
      <c r="K16" s="124" t="n"/>
      <c r="L16" s="124" t="n"/>
      <c r="M16" s="124" t="n"/>
      <c r="N16" s="124" t="n"/>
      <c r="O16" s="127" t="inlineStr">
        <is>
          <t>USER DETAILS</t>
        </is>
      </c>
      <c r="P16" s="127" t="n"/>
      <c r="Q16" s="127" t="n"/>
      <c r="R16" s="127" t="n"/>
      <c r="S16" s="127" t="inlineStr">
        <is>
          <t>None</t>
        </is>
      </c>
      <c r="T16" s="127" t="inlineStr">
        <is>
          <t>NIE</t>
        </is>
      </c>
      <c r="U16" s="127" t="n"/>
      <c r="V16" s="129">
        <f>IF($T16&lt;&gt;"TAK",0,IF($O16="NIEPOLICZONE",0,IFERROR(ROUND(IF($I16="",$J16,$I16)*IF($L16="",$M16,$L16),2),0)))</f>
        <v/>
      </c>
      <c r="W16" s="140">
        <f>IF($T16&lt;&gt;"TAK",0,IF($O16="NIEPOLICZONE",0,IFERROR(ROUND($J16*$M16,2),0)))</f>
        <v/>
      </c>
      <c r="X16" s="129">
        <f>IF($T16&lt;&gt;"TAK",0,IF($O16="NIEPOLICZONE",0,IFERROR(ROUND(IF($K16="",$J16,$K16)*IF($N16="",$M16,$N16),2),0)))</f>
        <v/>
      </c>
    </row>
    <row r="17" ht="18" customHeight="1" s="95">
      <c r="A17" s="120" t="inlineStr">
        <is>
          <t>K011</t>
        </is>
      </c>
      <c r="B17" s="127" t="n"/>
      <c r="C17" s="127" t="n"/>
      <c r="D17" s="127" t="inlineStr">
        <is>
          <t>K4 Warehouse, logistics and trade</t>
        </is>
      </c>
      <c r="E17" s="127" t="inlineStr">
        <is>
          <t>Carrier fees for demurrage and missed cut-offs</t>
        </is>
      </c>
      <c r="F17" s="127" t="inlineStr">
        <is>
          <t>CASH</t>
        </is>
      </c>
      <c r="G17" s="127" t="inlineStr">
        <is>
          <t>Rate × Quantity</t>
        </is>
      </c>
      <c r="H17" s="127" t="inlineStr">
        <is>
          <t>pcs.</t>
        </is>
      </c>
      <c r="I17" s="124" t="n"/>
      <c r="J17" s="124" t="n"/>
      <c r="K17" s="124" t="n"/>
      <c r="L17" s="124" t="n"/>
      <c r="M17" s="124" t="n"/>
      <c r="N17" s="124" t="n"/>
      <c r="O17" s="127" t="inlineStr">
        <is>
          <t>USER DETAILS</t>
        </is>
      </c>
      <c r="P17" s="127" t="n"/>
      <c r="Q17" s="127" t="n"/>
      <c r="R17" s="127" t="n"/>
      <c r="S17" s="127" t="inlineStr">
        <is>
          <t>None</t>
        </is>
      </c>
      <c r="T17" s="127" t="inlineStr">
        <is>
          <t>NIE</t>
        </is>
      </c>
      <c r="U17" s="127" t="n"/>
      <c r="V17" s="129">
        <f>IF($T17&lt;&gt;"TAK",0,IF($O17="NIEPOLICZONE",0,IFERROR(ROUND(IF($I17="",$J17,$I17)*IF($L17="",$M17,$L17),2),0)))</f>
        <v/>
      </c>
      <c r="W17" s="140">
        <f>IF($T17&lt;&gt;"TAK",0,IF($O17="NIEPOLICZONE",0,IFERROR(ROUND($J17*$M17,2),0)))</f>
        <v/>
      </c>
      <c r="X17" s="129">
        <f>IF($T17&lt;&gt;"TAK",0,IF($O17="NIEPOLICZONE",0,IFERROR(ROUND(IF($K17="",$J17,$K17)*IF($N17="",$M17,$N17),2),0)))</f>
        <v/>
      </c>
    </row>
    <row r="18" ht="18" customHeight="1" s="95">
      <c r="A18" s="120" t="inlineStr">
        <is>
          <t>K012</t>
        </is>
      </c>
      <c r="B18" s="127" t="n"/>
      <c r="C18" s="127" t="n"/>
      <c r="D18" s="127" t="inlineStr">
        <is>
          <t>K4 Warehouse, logistics and trade</t>
        </is>
      </c>
      <c r="E18" s="127" t="inlineStr">
        <is>
          <t>Corrections for picking errors</t>
        </is>
      </c>
      <c r="F18" s="127" t="inlineStr">
        <is>
          <t>CASH</t>
        </is>
      </c>
      <c r="G18" s="127" t="inlineStr">
        <is>
          <t>Rate × Quantity</t>
        </is>
      </c>
      <c r="H18" s="127" t="inlineStr">
        <is>
          <t>pcs.</t>
        </is>
      </c>
      <c r="I18" s="124" t="n"/>
      <c r="J18" s="124" t="n"/>
      <c r="K18" s="124" t="n"/>
      <c r="L18" s="124" t="n"/>
      <c r="M18" s="124" t="n"/>
      <c r="N18" s="124" t="n"/>
      <c r="O18" s="127" t="inlineStr">
        <is>
          <t>USER DETAILS</t>
        </is>
      </c>
      <c r="P18" s="127" t="n"/>
      <c r="Q18" s="127" t="n"/>
      <c r="R18" s="127" t="n"/>
      <c r="S18" s="127" t="inlineStr">
        <is>
          <t>None</t>
        </is>
      </c>
      <c r="T18" s="127" t="inlineStr">
        <is>
          <t>NIE</t>
        </is>
      </c>
      <c r="U18" s="127" t="n"/>
      <c r="V18" s="129">
        <f>IF($T18&lt;&gt;"TAK",0,IF($O18="NIEPOLICZONE",0,IFERROR(ROUND(IF($I18="",$J18,$I18)*IF($L18="",$M18,$L18),2),0)))</f>
        <v/>
      </c>
      <c r="W18" s="140">
        <f>IF($T18&lt;&gt;"TAK",0,IF($O18="NIEPOLICZONE",0,IFERROR(ROUND($J18*$M18,2),0)))</f>
        <v/>
      </c>
      <c r="X18" s="129">
        <f>IF($T18&lt;&gt;"TAK",0,IF($O18="NIEPOLICZONE",0,IFERROR(ROUND(IF($K18="",$J18,$K18)*IF($N18="",$M18,$N18),2),0)))</f>
        <v/>
      </c>
    </row>
    <row r="19" ht="18" customHeight="1" s="95">
      <c r="A19" s="120" t="inlineStr">
        <is>
          <t>K013</t>
        </is>
      </c>
      <c r="B19" s="127" t="n"/>
      <c r="C19" s="127" t="n"/>
      <c r="D19" s="127" t="inlineStr">
        <is>
          <t>K5 Professional Services and Offices</t>
        </is>
      </c>
      <c r="E19" s="127" t="inlineStr">
        <is>
          <t>Reproduction of documents and arrangements with clients</t>
        </is>
      </c>
      <c r="F19" s="127" t="inlineStr">
        <is>
          <t>CAPABILITY</t>
        </is>
      </c>
      <c r="G19" s="127" t="inlineStr">
        <is>
          <t>Person-hours × cost per hour</t>
        </is>
      </c>
      <c r="H19" s="127" t="inlineStr">
        <is>
          <t>h</t>
        </is>
      </c>
      <c r="I19" s="124" t="n"/>
      <c r="J19" s="124" t="n"/>
      <c r="K19" s="124" t="n"/>
      <c r="L19" s="124" t="n"/>
      <c r="M19" s="124" t="n"/>
      <c r="N19" s="124" t="n"/>
      <c r="O19" s="127" t="inlineStr">
        <is>
          <t>USER DETAILS</t>
        </is>
      </c>
      <c r="P19" s="127" t="n"/>
      <c r="Q19" s="127" t="n"/>
      <c r="R19" s="127" t="n"/>
      <c r="S19" s="127" t="inlineStr">
        <is>
          <t>None</t>
        </is>
      </c>
      <c r="T19" s="127" t="inlineStr">
        <is>
          <t>NIE</t>
        </is>
      </c>
      <c r="U19" s="127" t="n"/>
      <c r="V19" s="129">
        <f>IF($T19&lt;&gt;"TAK",0,IF($O19="NIEPOLICZONE",0,IFERROR(ROUND(IF($I19="",$J19,$I19)*IF($L19="",$M19,$L19),2),0)))</f>
        <v/>
      </c>
      <c r="W19" s="140">
        <f>IF($T19&lt;&gt;"TAK",0,IF($O19="NIEPOLICZONE",0,IFERROR(ROUND($J19*$M19,2),0)))</f>
        <v/>
      </c>
      <c r="X19" s="129">
        <f>IF($T19&lt;&gt;"TAK",0,IF($O19="NIEPOLICZONE",0,IFERROR(ROUND(IF($K19="",$J19,$K19)*IF($N19="",$M19,$N19),2),0)))</f>
        <v/>
      </c>
    </row>
    <row r="20" ht="18" customHeight="1" s="95">
      <c r="A20" s="120" t="inlineStr">
        <is>
          <t>K014</t>
        </is>
      </c>
      <c r="B20" s="127" t="n"/>
      <c r="C20" s="127" t="n"/>
      <c r="D20" s="127" t="inlineStr">
        <is>
          <t>K5 Professional Services and Offices</t>
        </is>
      </c>
      <c r="E20" s="127" t="inlineStr">
        <is>
          <t>Additional support for communication with office clients</t>
        </is>
      </c>
      <c r="F20" s="127" t="inlineStr">
        <is>
          <t>CAPABILITY</t>
        </is>
      </c>
      <c r="G20" s="127" t="inlineStr">
        <is>
          <t>Person-hours × cost per hour</t>
        </is>
      </c>
      <c r="H20" s="127" t="inlineStr">
        <is>
          <t>h</t>
        </is>
      </c>
      <c r="I20" s="124" t="n"/>
      <c r="J20" s="124" t="n"/>
      <c r="K20" s="124" t="n"/>
      <c r="L20" s="124" t="n"/>
      <c r="M20" s="124" t="n"/>
      <c r="N20" s="124" t="n"/>
      <c r="O20" s="127" t="inlineStr">
        <is>
          <t>USER DETAILS</t>
        </is>
      </c>
      <c r="P20" s="127" t="n"/>
      <c r="Q20" s="127" t="n"/>
      <c r="R20" s="127" t="n"/>
      <c r="S20" s="127" t="inlineStr">
        <is>
          <t>None</t>
        </is>
      </c>
      <c r="T20" s="127" t="inlineStr">
        <is>
          <t>NIE</t>
        </is>
      </c>
      <c r="U20" s="127" t="n"/>
      <c r="V20" s="129">
        <f>IF($T20&lt;&gt;"TAK",0,IF($O20="NIEPOLICZONE",0,IFERROR(ROUND(IF($I20="",$J20,$I20)*IF($L20="",$M20,$L20),2),0)))</f>
        <v/>
      </c>
      <c r="W20" s="140">
        <f>IF($T20&lt;&gt;"TAK",0,IF($O20="NIEPOLICZONE",0,IFERROR(ROUND($J20*$M20,2),0)))</f>
        <v/>
      </c>
      <c r="X20" s="129">
        <f>IF($T20&lt;&gt;"TAK",0,IF($O20="NIEPOLICZONE",0,IFERROR(ROUND(IF($K20="",$J20,$K20)*IF($N20="",$M20,$N20),2),0)))</f>
        <v/>
      </c>
    </row>
    <row r="21" ht="18" customHeight="1" s="95">
      <c r="A21" s="120" t="inlineStr">
        <is>
          <t>K015</t>
        </is>
      </c>
      <c r="B21" s="127" t="n"/>
      <c r="C21" s="127" t="n"/>
      <c r="D21" s="127" t="inlineStr">
        <is>
          <t>K6 Public sector and education</t>
        </is>
      </c>
      <c r="E21" s="127" t="inlineStr">
        <is>
          <t>Organization of bypass and manual work</t>
        </is>
      </c>
      <c r="F21" s="127" t="inlineStr">
        <is>
          <t>CAPABILITY</t>
        </is>
      </c>
      <c r="G21" s="127" t="inlineStr">
        <is>
          <t>Person-hours × cost per hour</t>
        </is>
      </c>
      <c r="H21" s="127" t="inlineStr">
        <is>
          <t>h</t>
        </is>
      </c>
      <c r="I21" s="124" t="n"/>
      <c r="J21" s="124" t="n"/>
      <c r="K21" s="124" t="n"/>
      <c r="L21" s="124" t="n"/>
      <c r="M21" s="124" t="n"/>
      <c r="N21" s="124" t="n"/>
      <c r="O21" s="127" t="inlineStr">
        <is>
          <t>USER DETAILS</t>
        </is>
      </c>
      <c r="P21" s="127" t="n"/>
      <c r="Q21" s="127" t="n"/>
      <c r="R21" s="127" t="n"/>
      <c r="S21" s="127" t="inlineStr">
        <is>
          <t>None</t>
        </is>
      </c>
      <c r="T21" s="127" t="inlineStr">
        <is>
          <t>NIE</t>
        </is>
      </c>
      <c r="U21" s="127" t="n"/>
      <c r="V21" s="129">
        <f>IF($T21&lt;&gt;"TAK",0,IF($O21="NIEPOLICZONE",0,IFERROR(ROUND(IF($I21="",$J21,$I21)*IF($L21="",$M21,$L21),2),0)))</f>
        <v/>
      </c>
      <c r="W21" s="140">
        <f>IF($T21&lt;&gt;"TAK",0,IF($O21="NIEPOLICZONE",0,IFERROR(ROUND($J21*$M21,2),0)))</f>
        <v/>
      </c>
      <c r="X21" s="129">
        <f>IF($T21&lt;&gt;"TAK",0,IF($O21="NIEPOLICZONE",0,IFERROR(ROUND(IF($K21="",$J21,$K21)*IF($N21="",$M21,$N21),2),0)))</f>
        <v/>
      </c>
    </row>
    <row r="22" ht="18" customHeight="1" s="95">
      <c r="A22" s="120" t="inlineStr">
        <is>
          <t>K016</t>
        </is>
      </c>
      <c r="B22" s="127" t="n"/>
      <c r="C22" s="127" t="n"/>
      <c r="D22" s="127" t="inlineStr">
        <is>
          <t>K6 Public sector and education</t>
        </is>
      </c>
      <c r="E22" s="127" t="inlineStr">
        <is>
          <t>Service or activity hours not delivered (KPI, non-P&amp;L)</t>
        </is>
      </c>
      <c r="F22" s="127" t="inlineStr">
        <is>
          <t>CAPABILITY</t>
        </is>
      </c>
      <c r="G22" s="127" t="inlineStr">
        <is>
          <t>Rate × Quantity</t>
        </is>
      </c>
      <c r="H22" s="127" t="inlineStr">
        <is>
          <t>h</t>
        </is>
      </c>
      <c r="I22" s="124" t="n"/>
      <c r="J22" s="124" t="n"/>
      <c r="K22" s="124" t="n"/>
      <c r="L22" s="124" t="n"/>
      <c r="M22" s="124" t="n"/>
      <c r="N22" s="124" t="n"/>
      <c r="O22" s="127" t="inlineStr">
        <is>
          <t>USER DETAILS</t>
        </is>
      </c>
      <c r="P22" s="127" t="n"/>
      <c r="Q22" s="127" t="n"/>
      <c r="R22" s="127" t="n"/>
      <c r="S22" s="127" t="inlineStr">
        <is>
          <t>None</t>
        </is>
      </c>
      <c r="T22" s="127" t="inlineStr">
        <is>
          <t>NIE</t>
        </is>
      </c>
      <c r="U22" s="127" t="n"/>
      <c r="V22" s="129">
        <f>IF($T22&lt;&gt;"TAK",0,IF($O22="NIEPOLICZONE",0,IFERROR(ROUND(IF($I22="",$J22,$I22)*IF($L22="",$M22,$L22),2),0)))</f>
        <v/>
      </c>
      <c r="W22" s="140">
        <f>IF($T22&lt;&gt;"TAK",0,IF($O22="NIEPOLICZONE",0,IFERROR(ROUND($J22*$M22,2),0)))</f>
        <v/>
      </c>
      <c r="X22" s="129">
        <f>IF($T22&lt;&gt;"TAK",0,IF($O22="NIEPOLICZONE",0,IFERROR(ROUND(IF($K22="",$J22,$K22)*IF($N22="",$M22,$N22),2),0)))</f>
        <v/>
      </c>
    </row>
    <row r="23" ht="18" customHeight="1" s="95">
      <c r="A23" s="120" t="inlineStr">
        <is>
          <t>K017</t>
        </is>
      </c>
      <c r="B23" s="127" t="n"/>
      <c r="C23" s="127" t="n"/>
      <c r="D23" s="127" t="inlineStr">
        <is>
          <t>K7 Technical recovery</t>
        </is>
      </c>
      <c r="E23" s="127" t="inlineStr">
        <is>
          <t>External service / MSP / manufacturer</t>
        </is>
      </c>
      <c r="F23" s="127" t="inlineStr">
        <is>
          <t>CASH</t>
        </is>
      </c>
      <c r="G23" s="127" t="inlineStr">
        <is>
          <t>Rate × Quantity</t>
        </is>
      </c>
      <c r="H23" s="127" t="inlineStr">
        <is>
          <t>h</t>
        </is>
      </c>
      <c r="I23" s="124" t="n"/>
      <c r="J23" s="124" t="n"/>
      <c r="K23" s="124" t="n"/>
      <c r="L23" s="124" t="n"/>
      <c r="M23" s="124" t="n"/>
      <c r="N23" s="124" t="n"/>
      <c r="O23" s="127" t="inlineStr">
        <is>
          <t>USER DETAILS</t>
        </is>
      </c>
      <c r="P23" s="127" t="n"/>
      <c r="Q23" s="127" t="n"/>
      <c r="R23" s="127" t="n"/>
      <c r="S23" s="127" t="inlineStr">
        <is>
          <t>None</t>
        </is>
      </c>
      <c r="T23" s="127" t="inlineStr">
        <is>
          <t>NIE</t>
        </is>
      </c>
      <c r="U23" s="127" t="n"/>
      <c r="V23" s="129">
        <f>IF($T23&lt;&gt;"TAK",0,IF($O23="NIEPOLICZONE",0,IFERROR(ROUND(IF($I23="",$J23,$I23)*IF($L23="",$M23,$L23),2),0)))</f>
        <v/>
      </c>
      <c r="W23" s="140">
        <f>IF($T23&lt;&gt;"TAK",0,IF($O23="NIEPOLICZONE",0,IFERROR(ROUND($J23*$M23,2),0)))</f>
        <v/>
      </c>
      <c r="X23" s="129">
        <f>IF($T23&lt;&gt;"TAK",0,IF($O23="NIEPOLICZONE",0,IFERROR(ROUND(IF($K23="",$J23,$K23)*IF($N23="",$M23,$N23),2),0)))</f>
        <v/>
      </c>
    </row>
    <row r="24" ht="18" customHeight="1" s="95">
      <c r="A24" s="120" t="inlineStr">
        <is>
          <t>K018</t>
        </is>
      </c>
      <c r="B24" s="127" t="n"/>
      <c r="C24" s="127" t="n"/>
      <c r="D24" s="127" t="inlineStr">
        <is>
          <t>K7 Technical recovery</t>
        </is>
      </c>
      <c r="E24" s="127" t="inlineStr">
        <is>
          <t>Internal IT Team - Response and Recovery Time</t>
        </is>
      </c>
      <c r="F24" s="127" t="inlineStr">
        <is>
          <t>CAPABILITY</t>
        </is>
      </c>
      <c r="G24" s="127" t="inlineStr">
        <is>
          <t>Person-hours × cost per hour</t>
        </is>
      </c>
      <c r="H24" s="127" t="inlineStr">
        <is>
          <t>h</t>
        </is>
      </c>
      <c r="I24" s="124" t="n"/>
      <c r="J24" s="124" t="n"/>
      <c r="K24" s="124" t="n"/>
      <c r="L24" s="124" t="n"/>
      <c r="M24" s="124" t="n"/>
      <c r="N24" s="124" t="n"/>
      <c r="O24" s="127" t="inlineStr">
        <is>
          <t>USER DETAILS</t>
        </is>
      </c>
      <c r="P24" s="127" t="n"/>
      <c r="Q24" s="127" t="n"/>
      <c r="R24" s="127" t="n"/>
      <c r="S24" s="127" t="inlineStr">
        <is>
          <t>None</t>
        </is>
      </c>
      <c r="T24" s="127" t="inlineStr">
        <is>
          <t>NIE</t>
        </is>
      </c>
      <c r="U24" s="127" t="n"/>
      <c r="V24" s="129">
        <f>IF($T24&lt;&gt;"TAK",0,IF($O24="NIEPOLICZONE",0,IFERROR(ROUND(IF($I24="",$J24,$I24)*IF($L24="",$M24,$L24),2),0)))</f>
        <v/>
      </c>
      <c r="W24" s="140">
        <f>IF($T24&lt;&gt;"TAK",0,IF($O24="NIEPOLICZONE",0,IFERROR(ROUND($J24*$M24,2),0)))</f>
        <v/>
      </c>
      <c r="X24" s="129">
        <f>IF($T24&lt;&gt;"TAK",0,IF($O24="NIEPOLICZONE",0,IFERROR(ROUND(IF($K24="",$J24,$K24)*IF($N24="",$M24,$N24),2),0)))</f>
        <v/>
      </c>
    </row>
    <row r="25" ht="18" customHeight="1" s="95">
      <c r="A25" s="120" t="inlineStr">
        <is>
          <t>K019</t>
        </is>
      </c>
      <c r="B25" s="127" t="n"/>
      <c r="C25" s="127" t="n"/>
      <c r="D25" s="127" t="inlineStr">
        <is>
          <t>K7 Technical recovery</t>
        </is>
      </c>
      <c r="E25" s="127" t="inlineStr">
        <is>
          <t>Replacement equipment, emergency purchase, rental, express delivery</t>
        </is>
      </c>
      <c r="F25" s="127" t="inlineStr">
        <is>
          <t>CASH</t>
        </is>
      </c>
      <c r="G25" s="127" t="inlineStr">
        <is>
          <t>Lump sum amount</t>
        </is>
      </c>
      <c r="H25" s="127" t="inlineStr">
        <is>
          <t>PLN</t>
        </is>
      </c>
      <c r="I25" s="124" t="n"/>
      <c r="J25" s="124" t="n"/>
      <c r="K25" s="124" t="n"/>
      <c r="L25" s="124" t="n"/>
      <c r="M25" s="124" t="n"/>
      <c r="N25" s="124" t="n"/>
      <c r="O25" s="127" t="inlineStr">
        <is>
          <t>USER DETAILS</t>
        </is>
      </c>
      <c r="P25" s="127" t="n"/>
      <c r="Q25" s="127" t="n"/>
      <c r="R25" s="127" t="n"/>
      <c r="S25" s="127" t="inlineStr">
        <is>
          <t>None</t>
        </is>
      </c>
      <c r="T25" s="127" t="inlineStr">
        <is>
          <t>NIE</t>
        </is>
      </c>
      <c r="U25" s="127" t="n"/>
      <c r="V25" s="129">
        <f>IF($T25&lt;&gt;"TAK",0,IF($O25="NIEPOLICZONE",0,IFERROR(ROUND(IF($I25="",$J25,$I25)*IF($L25="",$M25,$L25),2),0)))</f>
        <v/>
      </c>
      <c r="W25" s="140">
        <f>IF($T25&lt;&gt;"TAK",0,IF($O25="NIEPOLICZONE",0,IFERROR(ROUND($J25*$M25,2),0)))</f>
        <v/>
      </c>
      <c r="X25" s="129">
        <f>IF($T25&lt;&gt;"TAK",0,IF($O25="NIEPOLICZONE",0,IFERROR(ROUND(IF($K25="",$J25,$K25)*IF($N25="",$M25,$N25),2),0)))</f>
        <v/>
      </c>
    </row>
    <row r="26" ht="18" customHeight="1" s="95">
      <c r="A26" s="120" t="inlineStr">
        <is>
          <t>K020</t>
        </is>
      </c>
      <c r="B26" s="127" t="n"/>
      <c r="C26" s="127" t="n"/>
      <c r="D26" s="127" t="inlineStr">
        <is>
          <t>K7 Technical recovery</t>
        </is>
      </c>
      <c r="E26" s="127" t="inlineStr">
        <is>
          <t>Additional cloud resources, licenses and timing tools</t>
        </is>
      </c>
      <c r="F26" s="127" t="inlineStr">
        <is>
          <t>CASH</t>
        </is>
      </c>
      <c r="G26" s="127" t="inlineStr">
        <is>
          <t>Lump sum amount</t>
        </is>
      </c>
      <c r="H26" s="127" t="inlineStr">
        <is>
          <t>PLN</t>
        </is>
      </c>
      <c r="I26" s="124" t="n"/>
      <c r="J26" s="124" t="n"/>
      <c r="K26" s="124" t="n"/>
      <c r="L26" s="124" t="n"/>
      <c r="M26" s="124" t="n"/>
      <c r="N26" s="124" t="n"/>
      <c r="O26" s="127" t="inlineStr">
        <is>
          <t>USER DETAILS</t>
        </is>
      </c>
      <c r="P26" s="127" t="n"/>
      <c r="Q26" s="127" t="n"/>
      <c r="R26" s="127" t="n"/>
      <c r="S26" s="127" t="inlineStr">
        <is>
          <t>None</t>
        </is>
      </c>
      <c r="T26" s="127" t="inlineStr">
        <is>
          <t>NIE</t>
        </is>
      </c>
      <c r="U26" s="127" t="n"/>
      <c r="V26" s="129">
        <f>IF($T26&lt;&gt;"TAK",0,IF($O26="NIEPOLICZONE",0,IFERROR(ROUND(IF($I26="",$J26,$I26)*IF($L26="",$M26,$L26),2),0)))</f>
        <v/>
      </c>
      <c r="W26" s="140">
        <f>IF($T26&lt;&gt;"TAK",0,IF($O26="NIEPOLICZONE",0,IFERROR(ROUND($J26*$M26,2),0)))</f>
        <v/>
      </c>
      <c r="X26" s="129">
        <f>IF($T26&lt;&gt;"TAK",0,IF($O26="NIEPOLICZONE",0,IFERROR(ROUND(IF($K26="",$J26,$K26)*IF($N26="",$M26,$N26),2),0)))</f>
        <v/>
      </c>
    </row>
    <row r="27" ht="18" customHeight="1" s="95">
      <c r="A27" s="120" t="inlineStr">
        <is>
          <t>K021</t>
        </is>
      </c>
      <c r="B27" s="127" t="n"/>
      <c r="C27" s="127" t="n"/>
      <c r="D27" s="127" t="inlineStr">
        <is>
          <t>K7 Technical recovery</t>
        </is>
      </c>
      <c r="E27" s="127" t="inlineStr">
        <is>
          <t>Travel and on-site work</t>
        </is>
      </c>
      <c r="F27" s="127" t="inlineStr">
        <is>
          <t>CASH</t>
        </is>
      </c>
      <c r="G27" s="127" t="inlineStr">
        <is>
          <t>Lump sum amount</t>
        </is>
      </c>
      <c r="H27" s="127" t="inlineStr">
        <is>
          <t>PLN</t>
        </is>
      </c>
      <c r="I27" s="124" t="n"/>
      <c r="J27" s="124" t="n"/>
      <c r="K27" s="124" t="n"/>
      <c r="L27" s="124" t="n"/>
      <c r="M27" s="124" t="n"/>
      <c r="N27" s="124" t="n"/>
      <c r="O27" s="127" t="inlineStr">
        <is>
          <t>USER DETAILS</t>
        </is>
      </c>
      <c r="P27" s="127" t="n"/>
      <c r="Q27" s="127" t="n"/>
      <c r="R27" s="127" t="n"/>
      <c r="S27" s="127" t="inlineStr">
        <is>
          <t>None</t>
        </is>
      </c>
      <c r="T27" s="127" t="inlineStr">
        <is>
          <t>NIE</t>
        </is>
      </c>
      <c r="U27" s="127" t="n"/>
      <c r="V27" s="129">
        <f>IF($T27&lt;&gt;"TAK",0,IF($O27="NIEPOLICZONE",0,IFERROR(ROUND(IF($I27="",$J27,$I27)*IF($L27="",$M27,$L27),2),0)))</f>
        <v/>
      </c>
      <c r="W27" s="140">
        <f>IF($T27&lt;&gt;"TAK",0,IF($O27="NIEPOLICZONE",0,IFERROR(ROUND($J27*$M27,2),0)))</f>
        <v/>
      </c>
      <c r="X27" s="129">
        <f>IF($T27&lt;&gt;"TAK",0,IF($O27="NIEPOLICZONE",0,IFERROR(ROUND(IF($K27="",$J27,$K27)*IF($N27="",$M27,$N27),2),0)))</f>
        <v/>
      </c>
    </row>
    <row r="28" ht="18" customHeight="1" s="95">
      <c r="A28" s="120" t="inlineStr">
        <is>
          <t>K022</t>
        </is>
      </c>
      <c r="B28" s="127" t="n"/>
      <c r="C28" s="127" t="n"/>
      <c r="D28" s="127" t="inlineStr">
        <is>
          <t>K7 Technical recovery</t>
        </is>
      </c>
      <c r="E28" s="127" t="inlineStr">
        <is>
          <t>Root cause analysis and preventive actions - COST OF CORRECTION, not cost of incident</t>
        </is>
      </c>
      <c r="F28" s="127" t="inlineStr">
        <is>
          <t>CASH</t>
        </is>
      </c>
      <c r="G28" s="127" t="inlineStr">
        <is>
          <t>Lump sum amount</t>
        </is>
      </c>
      <c r="H28" s="127" t="inlineStr">
        <is>
          <t>PLN</t>
        </is>
      </c>
      <c r="I28" s="124" t="n"/>
      <c r="J28" s="124" t="n"/>
      <c r="K28" s="124" t="n"/>
      <c r="L28" s="124" t="n"/>
      <c r="M28" s="124" t="n"/>
      <c r="N28" s="124" t="n"/>
      <c r="O28" s="127" t="inlineStr">
        <is>
          <t>USER DETAILS</t>
        </is>
      </c>
      <c r="P28" s="127" t="n"/>
      <c r="Q28" s="127" t="n"/>
      <c r="R28" s="127" t="n"/>
      <c r="S28" s="127" t="inlineStr">
        <is>
          <t>None</t>
        </is>
      </c>
      <c r="T28" s="127" t="inlineStr">
        <is>
          <t>NIE</t>
        </is>
      </c>
      <c r="U28" s="127" t="n"/>
      <c r="V28" s="129">
        <f>IF($T28&lt;&gt;"TAK",0,IF($O28="NIEPOLICZONE",0,IFERROR(ROUND(IF($I28="",$J28,$I28)*IF($L28="",$M28,$L28),2),0)))</f>
        <v/>
      </c>
      <c r="W28" s="140">
        <f>IF($T28&lt;&gt;"TAK",0,IF($O28="NIEPOLICZONE",0,IFERROR(ROUND($J28*$M28,2),0)))</f>
        <v/>
      </c>
      <c r="X28" s="129">
        <f>IF($T28&lt;&gt;"TAK",0,IF($O28="NIEPOLICZONE",0,IFERROR(ROUND(IF($K28="",$J28,$K28)*IF($N28="",$M28,$N28),2),0)))</f>
        <v/>
      </c>
    </row>
    <row r="29" ht="18" customHeight="1" s="95">
      <c r="A29" s="120" t="inlineStr">
        <is>
          <t>K023</t>
        </is>
      </c>
      <c r="B29" s="127" t="n"/>
      <c r="C29" s="127" t="n"/>
      <c r="D29" s="127" t="inlineStr">
        <is>
          <t>K8 Data and information retrieval</t>
        </is>
      </c>
      <c r="E29" s="127" t="inlineStr">
        <is>
          <t>Playback from paper, email or partner systems</t>
        </is>
      </c>
      <c r="F29" s="127" t="inlineStr">
        <is>
          <t>CAPABILITY</t>
        </is>
      </c>
      <c r="G29" s="127" t="inlineStr">
        <is>
          <t>Person-hours × cost per hour</t>
        </is>
      </c>
      <c r="H29" s="127" t="inlineStr">
        <is>
          <t>h</t>
        </is>
      </c>
      <c r="I29" s="124" t="n"/>
      <c r="J29" s="124" t="n"/>
      <c r="K29" s="124" t="n"/>
      <c r="L29" s="124" t="n"/>
      <c r="M29" s="124" t="n"/>
      <c r="N29" s="124" t="n"/>
      <c r="O29" s="127" t="inlineStr">
        <is>
          <t>USER DETAILS</t>
        </is>
      </c>
      <c r="P29" s="127" t="n"/>
      <c r="Q29" s="127" t="n"/>
      <c r="R29" s="127" t="n"/>
      <c r="S29" s="127" t="inlineStr">
        <is>
          <t>None</t>
        </is>
      </c>
      <c r="T29" s="127" t="inlineStr">
        <is>
          <t>NIE</t>
        </is>
      </c>
      <c r="U29" s="127" t="n"/>
      <c r="V29" s="129">
        <f>IF($T29&lt;&gt;"TAK",0,IF($O29="NIEPOLICZONE",0,IFERROR(ROUND(IF($I29="",$J29,$I29)*IF($L29="",$M29,$L29),2),0)))</f>
        <v/>
      </c>
      <c r="W29" s="140">
        <f>IF($T29&lt;&gt;"TAK",0,IF($O29="NIEPOLICZONE",0,IFERROR(ROUND($J29*$M29,2),0)))</f>
        <v/>
      </c>
      <c r="X29" s="129">
        <f>IF($T29&lt;&gt;"TAK",0,IF($O29="NIEPOLICZONE",0,IFERROR(ROUND(IF($K29="",$J29,$K29)*IF($N29="",$M29,$N29),2),0)))</f>
        <v/>
      </c>
    </row>
    <row r="30" ht="18" customHeight="1" s="95">
      <c r="A30" s="120" t="inlineStr">
        <is>
          <t>K024</t>
        </is>
      </c>
      <c r="B30" s="127" t="n"/>
      <c r="C30" s="127" t="n"/>
      <c r="D30" s="127" t="inlineStr">
        <is>
          <t>K8 Data and information retrieval</t>
        </is>
      </c>
      <c r="E30" s="127" t="inlineStr">
        <is>
          <t>Lost design work and configuration changes</t>
        </is>
      </c>
      <c r="F30" s="127" t="inlineStr">
        <is>
          <t>CAPABILITY</t>
        </is>
      </c>
      <c r="G30" s="127" t="inlineStr">
        <is>
          <t>Person-hours × cost per hour</t>
        </is>
      </c>
      <c r="H30" s="127" t="inlineStr">
        <is>
          <t>h</t>
        </is>
      </c>
      <c r="I30" s="124" t="n"/>
      <c r="J30" s="124" t="n"/>
      <c r="K30" s="124" t="n"/>
      <c r="L30" s="124" t="n"/>
      <c r="M30" s="124" t="n"/>
      <c r="N30" s="124" t="n"/>
      <c r="O30" s="127" t="inlineStr">
        <is>
          <t>USER DETAILS</t>
        </is>
      </c>
      <c r="P30" s="127" t="n"/>
      <c r="Q30" s="127" t="n"/>
      <c r="R30" s="127" t="n"/>
      <c r="S30" s="127" t="inlineStr">
        <is>
          <t>None</t>
        </is>
      </c>
      <c r="T30" s="127" t="inlineStr">
        <is>
          <t>NIE</t>
        </is>
      </c>
      <c r="U30" s="127" t="n"/>
      <c r="V30" s="129">
        <f>IF($T30&lt;&gt;"TAK",0,IF($O30="NIEPOLICZONE",0,IFERROR(ROUND(IF($I30="",$J30,$I30)*IF($L30="",$M30,$L30),2),0)))</f>
        <v/>
      </c>
      <c r="W30" s="140">
        <f>IF($T30&lt;&gt;"TAK",0,IF($O30="NIEPOLICZONE",0,IFERROR(ROUND($J30*$M30,2),0)))</f>
        <v/>
      </c>
      <c r="X30" s="129">
        <f>IF($T30&lt;&gt;"TAK",0,IF($O30="NIEPOLICZONE",0,IFERROR(ROUND(IF($K30="",$J30,$K30)*IF($N30="",$M30,$N30),2),0)))</f>
        <v/>
      </c>
    </row>
    <row r="31" ht="18" customHeight="1" s="95">
      <c r="A31" s="120" t="inlineStr">
        <is>
          <t>K025</t>
        </is>
      </c>
      <c r="B31" s="127" t="n"/>
      <c r="C31" s="127" t="n"/>
      <c r="D31" s="127" t="inlineStr">
        <is>
          <t>K9 Customers, contracts, communication</t>
        </is>
      </c>
      <c r="E31" s="127" t="inlineStr">
        <is>
          <t>Additional telephone, e-mail and complaint handling</t>
        </is>
      </c>
      <c r="F31" s="127" t="inlineStr">
        <is>
          <t>CAPABILITY</t>
        </is>
      </c>
      <c r="G31" s="127" t="inlineStr">
        <is>
          <t>Person-hours × cost per hour</t>
        </is>
      </c>
      <c r="H31" s="127" t="inlineStr">
        <is>
          <t>h</t>
        </is>
      </c>
      <c r="I31" s="124" t="n"/>
      <c r="J31" s="124" t="n"/>
      <c r="K31" s="124" t="n"/>
      <c r="L31" s="124" t="n"/>
      <c r="M31" s="124" t="n"/>
      <c r="N31" s="124" t="n"/>
      <c r="O31" s="127" t="inlineStr">
        <is>
          <t>USER DETAILS</t>
        </is>
      </c>
      <c r="P31" s="127" t="n"/>
      <c r="Q31" s="127" t="n"/>
      <c r="R31" s="127" t="n"/>
      <c r="S31" s="127" t="inlineStr">
        <is>
          <t>None</t>
        </is>
      </c>
      <c r="T31" s="127" t="inlineStr">
        <is>
          <t>NIE</t>
        </is>
      </c>
      <c r="U31" s="127" t="n"/>
      <c r="V31" s="129">
        <f>IF($T31&lt;&gt;"TAK",0,IF($O31="NIEPOLICZONE",0,IFERROR(ROUND(IF($I31="",$J31,$I31)*IF($L31="",$M31,$L31),2),0)))</f>
        <v/>
      </c>
      <c r="W31" s="140">
        <f>IF($T31&lt;&gt;"TAK",0,IF($O31="NIEPOLICZONE",0,IFERROR(ROUND($J31*$M31,2),0)))</f>
        <v/>
      </c>
      <c r="X31" s="129">
        <f>IF($T31&lt;&gt;"TAK",0,IF($O31="NIEPOLICZONE",0,IFERROR(ROUND(IF($K31="",$J31,$K31)*IF($N31="",$M31,$N31),2),0)))</f>
        <v/>
      </c>
    </row>
    <row r="32" ht="18" customHeight="1" s="95">
      <c r="A32" s="120" t="inlineStr">
        <is>
          <t>K026</t>
        </is>
      </c>
      <c r="B32" s="127" t="n"/>
      <c r="C32" s="127" t="n"/>
      <c r="D32" s="127" t="inlineStr">
        <is>
          <t>K9 Customers, contracts, communication</t>
        </is>
      </c>
      <c r="E32" s="127" t="inlineStr">
        <is>
          <t>Crisis communications and PR</t>
        </is>
      </c>
      <c r="F32" s="127" t="inlineStr">
        <is>
          <t>CASH</t>
        </is>
      </c>
      <c r="G32" s="127" t="inlineStr">
        <is>
          <t>Lump sum amount</t>
        </is>
      </c>
      <c r="H32" s="127" t="inlineStr">
        <is>
          <t>PLN</t>
        </is>
      </c>
      <c r="I32" s="124" t="n"/>
      <c r="J32" s="124" t="n"/>
      <c r="K32" s="124" t="n"/>
      <c r="L32" s="124" t="n"/>
      <c r="M32" s="124" t="n"/>
      <c r="N32" s="124" t="n"/>
      <c r="O32" s="127" t="inlineStr">
        <is>
          <t>USER DETAILS</t>
        </is>
      </c>
      <c r="P32" s="127" t="n"/>
      <c r="Q32" s="127" t="n"/>
      <c r="R32" s="127" t="n"/>
      <c r="S32" s="127" t="inlineStr">
        <is>
          <t>None</t>
        </is>
      </c>
      <c r="T32" s="127" t="inlineStr">
        <is>
          <t>NIE</t>
        </is>
      </c>
      <c r="U32" s="127" t="n"/>
      <c r="V32" s="129">
        <f>IF($T32&lt;&gt;"TAK",0,IF($O32="NIEPOLICZONE",0,IFERROR(ROUND(IF($I32="",$J32,$I32)*IF($L32="",$M32,$L32),2),0)))</f>
        <v/>
      </c>
      <c r="W32" s="140">
        <f>IF($T32&lt;&gt;"TAK",0,IF($O32="NIEPOLICZONE",0,IFERROR(ROUND($J32*$M32,2),0)))</f>
        <v/>
      </c>
      <c r="X32" s="129">
        <f>IF($T32&lt;&gt;"TAK",0,IF($O32="NIEPOLICZONE",0,IFERROR(ROUND(IF($K32="",$J32,$K32)*IF($N32="",$M32,$N32),2),0)))</f>
        <v/>
      </c>
    </row>
    <row r="33" ht="18" customHeight="1" s="95">
      <c r="A33" s="120" t="inlineStr">
        <is>
          <t>K027</t>
        </is>
      </c>
      <c r="B33" s="127" t="n"/>
      <c r="C33" s="127" t="n"/>
      <c r="D33" s="127" t="inlineStr">
        <is>
          <t>K10 Cyber, data breach, fraud</t>
        </is>
      </c>
      <c r="E33" s="127" t="inlineStr">
        <is>
          <t>Forensic analysis and environmental isolation</t>
        </is>
      </c>
      <c r="F33" s="127" t="inlineStr">
        <is>
          <t>CASH</t>
        </is>
      </c>
      <c r="G33" s="127" t="inlineStr">
        <is>
          <t>Rate × Quantity</t>
        </is>
      </c>
      <c r="H33" s="127" t="inlineStr">
        <is>
          <t>h</t>
        </is>
      </c>
      <c r="I33" s="124" t="n"/>
      <c r="J33" s="124" t="n"/>
      <c r="K33" s="124" t="n"/>
      <c r="L33" s="124" t="n"/>
      <c r="M33" s="124" t="n"/>
      <c r="N33" s="124" t="n"/>
      <c r="O33" s="127" t="inlineStr">
        <is>
          <t>USER DETAILS</t>
        </is>
      </c>
      <c r="P33" s="127" t="n"/>
      <c r="Q33" s="127" t="n"/>
      <c r="R33" s="127" t="n"/>
      <c r="S33" s="127" t="inlineStr">
        <is>
          <t>None</t>
        </is>
      </c>
      <c r="T33" s="127" t="inlineStr">
        <is>
          <t>NIE</t>
        </is>
      </c>
      <c r="U33" s="127" t="n"/>
      <c r="V33" s="129">
        <f>IF($T33&lt;&gt;"TAK",0,IF($O33="NIEPOLICZONE",0,IFERROR(ROUND(IF($I33="",$J33,$I33)*IF($L33="",$M33,$L33),2),0)))</f>
        <v/>
      </c>
      <c r="W33" s="140">
        <f>IF($T33&lt;&gt;"TAK",0,IF($O33="NIEPOLICZONE",0,IFERROR(ROUND($J33*$M33,2),0)))</f>
        <v/>
      </c>
      <c r="X33" s="129">
        <f>IF($T33&lt;&gt;"TAK",0,IF($O33="NIEPOLICZONE",0,IFERROR(ROUND(IF($K33="",$J33,$K33)*IF($N33="",$M33,$N33),2),0)))</f>
        <v/>
      </c>
    </row>
    <row r="34" ht="18" customHeight="1" s="95">
      <c r="A34" s="120" t="inlineStr">
        <is>
          <t>K028</t>
        </is>
      </c>
      <c r="B34" s="127" t="n"/>
      <c r="C34" s="127" t="n"/>
      <c r="D34" s="127" t="inlineStr">
        <is>
          <t>K10 Cyber, data breach, fraud</t>
        </is>
      </c>
      <c r="E34" s="127" t="inlineStr">
        <is>
          <t>Credential reset and rebuild from trusted state</t>
        </is>
      </c>
      <c r="F34" s="127" t="inlineStr">
        <is>
          <t>CAPABILITY</t>
        </is>
      </c>
      <c r="G34" s="127" t="inlineStr">
        <is>
          <t>Person-hours × cost per hour</t>
        </is>
      </c>
      <c r="H34" s="127" t="inlineStr">
        <is>
          <t>h</t>
        </is>
      </c>
      <c r="I34" s="124" t="n"/>
      <c r="J34" s="124" t="n"/>
      <c r="K34" s="124" t="n"/>
      <c r="L34" s="124" t="n"/>
      <c r="M34" s="124" t="n"/>
      <c r="N34" s="124" t="n"/>
      <c r="O34" s="127" t="inlineStr">
        <is>
          <t>USER DETAILS</t>
        </is>
      </c>
      <c r="P34" s="127" t="n"/>
      <c r="Q34" s="127" t="n"/>
      <c r="R34" s="127" t="n"/>
      <c r="S34" s="127" t="inlineStr">
        <is>
          <t>None</t>
        </is>
      </c>
      <c r="T34" s="127" t="inlineStr">
        <is>
          <t>NIE</t>
        </is>
      </c>
      <c r="U34" s="127" t="n"/>
      <c r="V34" s="129">
        <f>IF($T34&lt;&gt;"TAK",0,IF($O34="NIEPOLICZONE",0,IFERROR(ROUND(IF($I34="",$J34,$I34)*IF($L34="",$M34,$L34),2),0)))</f>
        <v/>
      </c>
      <c r="W34" s="140">
        <f>IF($T34&lt;&gt;"TAK",0,IF($O34="NIEPOLICZONE",0,IFERROR(ROUND($J34*$M34,2),0)))</f>
        <v/>
      </c>
      <c r="X34" s="129">
        <f>IF($T34&lt;&gt;"TAK",0,IF($O34="NIEPOLICZONE",0,IFERROR(ROUND(IF($K34="",$J34,$K34)*IF($N34="",$M34,$N34),2),0)))</f>
        <v/>
      </c>
    </row>
    <row r="35" ht="18" customHeight="1" s="95">
      <c r="A35" s="120" t="inlineStr">
        <is>
          <t>K029</t>
        </is>
      </c>
      <c r="B35" s="127" t="n"/>
      <c r="C35" s="127" t="n"/>
      <c r="D35" s="127" t="inlineStr">
        <is>
          <t>K10 Cyber, data breach, fraud</t>
        </is>
      </c>
      <c r="E35" s="127" t="inlineStr">
        <is>
          <t>Unauthorized payments and recovery costs</t>
        </is>
      </c>
      <c r="F35" s="127" t="inlineStr">
        <is>
          <t>CASH</t>
        </is>
      </c>
      <c r="G35" s="127" t="inlineStr">
        <is>
          <t>Lump sum amount</t>
        </is>
      </c>
      <c r="H35" s="127" t="inlineStr">
        <is>
          <t>PLN</t>
        </is>
      </c>
      <c r="I35" s="124" t="n"/>
      <c r="J35" s="124" t="n"/>
      <c r="K35" s="124" t="n"/>
      <c r="L35" s="124" t="n"/>
      <c r="M35" s="124" t="n"/>
      <c r="N35" s="124" t="n"/>
      <c r="O35" s="127" t="inlineStr">
        <is>
          <t>USER DETAILS</t>
        </is>
      </c>
      <c r="P35" s="127" t="n"/>
      <c r="Q35" s="127" t="n"/>
      <c r="R35" s="127" t="n"/>
      <c r="S35" s="127" t="inlineStr">
        <is>
          <t>None</t>
        </is>
      </c>
      <c r="T35" s="127" t="inlineStr">
        <is>
          <t>NIE</t>
        </is>
      </c>
      <c r="U35" s="127" t="n"/>
      <c r="V35" s="129">
        <f>IF($T35&lt;&gt;"TAK",0,IF($O35="NIEPOLICZONE",0,IFERROR(ROUND(IF($I35="",$J35,$I35)*IF($L35="",$M35,$L35),2),0)))</f>
        <v/>
      </c>
      <c r="W35" s="140">
        <f>IF($T35&lt;&gt;"TAK",0,IF($O35="NIEPOLICZONE",0,IFERROR(ROUND($J35*$M35,2),0)))</f>
        <v/>
      </c>
      <c r="X35" s="129">
        <f>IF($T35&lt;&gt;"TAK",0,IF($O35="NIEPOLICZONE",0,IFERROR(ROUND(IF($K35="",$J35,$K35)*IF($N35="",$M35,$N35),2),0)))</f>
        <v/>
      </c>
    </row>
    <row r="36" ht="18" customHeight="1" s="95">
      <c r="A36" s="120" t="inlineStr">
        <is>
          <t>K030</t>
        </is>
      </c>
      <c r="B36" s="127" t="n"/>
      <c r="C36" s="127" t="n"/>
      <c r="D36" s="127" t="inlineStr">
        <is>
          <t>K11 Other costs</t>
        </is>
      </c>
      <c r="E36" s="127" t="inlineStr">
        <is>
          <t>Cost to implement and maintain the bypass</t>
        </is>
      </c>
      <c r="F36" s="127" t="inlineStr">
        <is>
          <t>CASH</t>
        </is>
      </c>
      <c r="G36" s="127" t="inlineStr">
        <is>
          <t>Lump sum amount</t>
        </is>
      </c>
      <c r="H36" s="127" t="inlineStr">
        <is>
          <t>PLN</t>
        </is>
      </c>
      <c r="I36" s="124" t="n"/>
      <c r="J36" s="124" t="n"/>
      <c r="K36" s="124" t="n"/>
      <c r="L36" s="124" t="n"/>
      <c r="M36" s="124" t="n"/>
      <c r="N36" s="124" t="n"/>
      <c r="O36" s="127" t="inlineStr">
        <is>
          <t>USER DETAILS</t>
        </is>
      </c>
      <c r="P36" s="127" t="n"/>
      <c r="Q36" s="127" t="n"/>
      <c r="R36" s="127" t="n"/>
      <c r="S36" s="127" t="inlineStr">
        <is>
          <t>None</t>
        </is>
      </c>
      <c r="T36" s="127" t="inlineStr">
        <is>
          <t>NIE</t>
        </is>
      </c>
      <c r="U36" s="127" t="n"/>
      <c r="V36" s="129">
        <f>IF($T36&lt;&gt;"TAK",0,IF($O36="NIEPOLICZONE",0,IFERROR(ROUND(IF($I36="",$J36,$I36)*IF($L36="",$M36,$L36),2),0)))</f>
        <v/>
      </c>
      <c r="W36" s="140">
        <f>IF($T36&lt;&gt;"TAK",0,IF($O36="NIEPOLICZONE",0,IFERROR(ROUND($J36*$M36,2),0)))</f>
        <v/>
      </c>
      <c r="X36" s="129">
        <f>IF($T36&lt;&gt;"TAK",0,IF($O36="NIEPOLICZONE",0,IFERROR(ROUND(IF($K36="",$J36,$K36)*IF($N36="",$M36,$N36),2),0)))</f>
        <v/>
      </c>
    </row>
    <row r="37" ht="18" customHeight="1" s="95">
      <c r="A37" s="120" t="inlineStr">
        <is>
          <t>K031</t>
        </is>
      </c>
      <c r="B37" s="127" t="n"/>
      <c r="C37" s="127" t="n"/>
      <c r="D37" s="127" t="inlineStr">
        <is>
          <t>K11 Other costs</t>
        </is>
      </c>
      <c r="E37" s="127" t="inlineStr">
        <is>
          <t>Loss of reputation and intangible assets</t>
        </is>
      </c>
      <c r="F37" s="127" t="inlineStr">
        <is>
          <t>WARUNKOWA</t>
        </is>
      </c>
      <c r="G37" s="127" t="inlineStr">
        <is>
          <t>Other - describe in a note</t>
        </is>
      </c>
      <c r="H37" s="127" t="inlineStr">
        <is>
          <t>—</t>
        </is>
      </c>
      <c r="I37" s="124" t="n"/>
      <c r="J37" s="124" t="n"/>
      <c r="K37" s="124" t="n"/>
      <c r="L37" s="124" t="n"/>
      <c r="M37" s="124" t="n"/>
      <c r="N37" s="124" t="n"/>
      <c r="O37" s="127" t="inlineStr">
        <is>
          <t>USER DETAILS</t>
        </is>
      </c>
      <c r="P37" s="127" t="n"/>
      <c r="Q37" s="127" t="n"/>
      <c r="R37" s="127" t="n"/>
      <c r="S37" s="127" t="inlineStr">
        <is>
          <t>None</t>
        </is>
      </c>
      <c r="T37" s="127" t="inlineStr">
        <is>
          <t>NIE</t>
        </is>
      </c>
      <c r="U37" s="127" t="n"/>
      <c r="V37" s="129">
        <f>IF($T37&lt;&gt;"TAK",0,IF($O37="NIEPOLICZONE",0,IFERROR(ROUND(IF($I37="",$J37,$I37)*IF($L37="",$M37,$L37),2),0)))</f>
        <v/>
      </c>
      <c r="W37" s="140">
        <f>IF($T37&lt;&gt;"TAK",0,IF($O37="NIEPOLICZONE",0,IFERROR(ROUND($J37*$M37,2),0)))</f>
        <v/>
      </c>
      <c r="X37" s="129">
        <f>IF($T37&lt;&gt;"TAK",0,IF($O37="NIEPOLICZONE",0,IFERROR(ROUND(IF($K37="",$J37,$K37)*IF($N37="",$M37,$N37),2),0)))</f>
        <v/>
      </c>
    </row>
    <row r="38" ht="18" customHeight="1" s="95">
      <c r="A38" s="120" t="inlineStr">
        <is>
          <t>K032</t>
        </is>
      </c>
      <c r="B38" s="127" t="n"/>
      <c r="C38" s="127" t="n"/>
      <c r="D38" s="127" t="inlineStr">
        <is>
          <t>K12 Recoveries</t>
        </is>
      </c>
      <c r="E38" s="127" t="inlineStr">
        <is>
          <t>Expected policy compensation - informational, NOT deducted</t>
        </is>
      </c>
      <c r="F38" s="127" t="inlineStr">
        <is>
          <t>ODZYSK</t>
        </is>
      </c>
      <c r="G38" s="127" t="inlineStr">
        <is>
          <t>Lump sum amount</t>
        </is>
      </c>
      <c r="H38" s="127" t="inlineStr">
        <is>
          <t>PLN</t>
        </is>
      </c>
      <c r="I38" s="124" t="n"/>
      <c r="J38" s="124" t="n"/>
      <c r="K38" s="124" t="n"/>
      <c r="L38" s="124" t="n"/>
      <c r="M38" s="124" t="n"/>
      <c r="N38" s="124" t="n"/>
      <c r="O38" s="127" t="inlineStr">
        <is>
          <t>USER DETAILS</t>
        </is>
      </c>
      <c r="P38" s="127" t="n"/>
      <c r="Q38" s="127" t="n"/>
      <c r="R38" s="127" t="n"/>
      <c r="S38" s="127" t="inlineStr">
        <is>
          <t>None</t>
        </is>
      </c>
      <c r="T38" s="127" t="inlineStr">
        <is>
          <t>NIE</t>
        </is>
      </c>
      <c r="U38" s="127" t="n"/>
      <c r="V38" s="129">
        <f>IF($T38&lt;&gt;"TAK",0,IF($O38="NIEPOLICZONE",0,IFERROR(ROUND(IF($I38="",$J38,$I38)*IF($L38="",$M38,$L38),2),0)))</f>
        <v/>
      </c>
      <c r="W38" s="140">
        <f>IF($T38&lt;&gt;"TAK",0,IF($O38="NIEPOLICZONE",0,IFERROR(ROUND($J38*$M38,2),0)))</f>
        <v/>
      </c>
      <c r="X38" s="129">
        <f>IF($T38&lt;&gt;"TAK",0,IF($O38="NIEPOLICZONE",0,IFERROR(ROUND(IF($K38="",$J38,$K38)*IF($N38="",$M38,$N38),2),0)))</f>
        <v/>
      </c>
    </row>
    <row r="39" ht="18" customHeight="1" s="95">
      <c r="A39" s="120" t="inlineStr">
        <is>
          <t>K033</t>
        </is>
      </c>
      <c r="B39" s="127" t="n"/>
      <c r="C39" s="127" t="n"/>
      <c r="D39" s="127" t="inlineStr">
        <is>
          <t>K12 Recoveries</t>
        </is>
      </c>
      <c r="E39" s="127" t="inlineStr">
        <is>
          <t>Supplier SLA Credit - informational, NOT deducted</t>
        </is>
      </c>
      <c r="F39" s="127" t="inlineStr">
        <is>
          <t>ODZYSK</t>
        </is>
      </c>
      <c r="G39" s="127" t="inlineStr">
        <is>
          <t>Lump sum amount</t>
        </is>
      </c>
      <c r="H39" s="127" t="inlineStr">
        <is>
          <t>PLN</t>
        </is>
      </c>
      <c r="I39" s="124" t="n"/>
      <c r="J39" s="124" t="n"/>
      <c r="K39" s="124" t="n"/>
      <c r="L39" s="124" t="n"/>
      <c r="M39" s="124" t="n"/>
      <c r="N39" s="124" t="n"/>
      <c r="O39" s="127" t="inlineStr">
        <is>
          <t>USER DETAILS</t>
        </is>
      </c>
      <c r="P39" s="127" t="n"/>
      <c r="Q39" s="127" t="n"/>
      <c r="R39" s="127" t="n"/>
      <c r="S39" s="127" t="inlineStr">
        <is>
          <t>None</t>
        </is>
      </c>
      <c r="T39" s="127" t="inlineStr">
        <is>
          <t>NIE</t>
        </is>
      </c>
      <c r="U39" s="127" t="n"/>
      <c r="V39" s="129">
        <f>IF($T39&lt;&gt;"TAK",0,IF($O39="NIEPOLICZONE",0,IFERROR(ROUND(IF($I39="",$J39,$I39)*IF($L39="",$M39,$L39),2),0)))</f>
        <v/>
      </c>
      <c r="W39" s="140">
        <f>IF($T39&lt;&gt;"TAK",0,IF($O39="NIEPOLICZONE",0,IFERROR(ROUND($J39*$M39,2),0)))</f>
        <v/>
      </c>
      <c r="X39" s="129">
        <f>IF($T39&lt;&gt;"TAK",0,IF($O39="NIEPOLICZONE",0,IFERROR(ROUND(IF($K39="",$J39,$K39)*IF($N39="",$M39,$N39),2),0)))</f>
        <v/>
      </c>
    </row>
    <row r="40" ht="18" customHeight="1" s="95">
      <c r="A40" s="120" t="inlineStr">
        <is>
          <t>K034</t>
        </is>
      </c>
      <c r="B40" s="127" t="n"/>
      <c r="C40" s="127" t="n"/>
      <c r="D40" s="127" t="n"/>
      <c r="E40" s="127" t="n"/>
      <c r="F40" s="127" t="n"/>
      <c r="G40" s="127" t="n"/>
      <c r="H40" s="127" t="n"/>
      <c r="I40" s="124" t="n"/>
      <c r="J40" s="124" t="n"/>
      <c r="K40" s="124" t="n"/>
      <c r="L40" s="124" t="n"/>
      <c r="M40" s="124" t="n"/>
      <c r="N40" s="124" t="n"/>
      <c r="O40" s="127" t="n"/>
      <c r="P40" s="127" t="n"/>
      <c r="Q40" s="127" t="n"/>
      <c r="R40" s="127" t="n"/>
      <c r="S40" s="127" t="n"/>
      <c r="T40" s="127" t="n"/>
      <c r="U40" s="127" t="n"/>
      <c r="V40" s="129">
        <f>IF($T40&lt;&gt;"TAK",0,IF($O40="NIEPOLICZONE",0,IFERROR(ROUND(IF($I40="",$J40,$I40)*IF($L40="",$M40,$L40),2),0)))</f>
        <v/>
      </c>
      <c r="W40" s="140">
        <f>IF($T40&lt;&gt;"TAK",0,IF($O40="NIEPOLICZONE",0,IFERROR(ROUND($J40*$M40,2),0)))</f>
        <v/>
      </c>
      <c r="X40" s="129">
        <f>IF($T40&lt;&gt;"TAK",0,IF($O40="NIEPOLICZONE",0,IFERROR(ROUND(IF($K40="",$J40,$K40)*IF($N40="",$M40,$N40),2),0)))</f>
        <v/>
      </c>
    </row>
    <row r="41" ht="18" customHeight="1" s="95">
      <c r="A41" s="120" t="inlineStr">
        <is>
          <t>K035</t>
        </is>
      </c>
      <c r="B41" s="127" t="n"/>
      <c r="C41" s="127" t="n"/>
      <c r="D41" s="127" t="n"/>
      <c r="E41" s="127" t="n"/>
      <c r="F41" s="127" t="n"/>
      <c r="G41" s="127" t="n"/>
      <c r="H41" s="127" t="n"/>
      <c r="I41" s="124" t="n"/>
      <c r="J41" s="124" t="n"/>
      <c r="K41" s="124" t="n"/>
      <c r="L41" s="124" t="n"/>
      <c r="M41" s="124" t="n"/>
      <c r="N41" s="124" t="n"/>
      <c r="O41" s="127" t="n"/>
      <c r="P41" s="127" t="n"/>
      <c r="Q41" s="127" t="n"/>
      <c r="R41" s="127" t="n"/>
      <c r="S41" s="127" t="n"/>
      <c r="T41" s="127" t="n"/>
      <c r="U41" s="127" t="n"/>
      <c r="V41" s="129">
        <f>IF($T41&lt;&gt;"TAK",0,IF($O41="NIEPOLICZONE",0,IFERROR(ROUND(IF($I41="",$J41,$I41)*IF($L41="",$M41,$L41),2),0)))</f>
        <v/>
      </c>
      <c r="W41" s="140">
        <f>IF($T41&lt;&gt;"TAK",0,IF($O41="NIEPOLICZONE",0,IFERROR(ROUND($J41*$M41,2),0)))</f>
        <v/>
      </c>
      <c r="X41" s="129">
        <f>IF($T41&lt;&gt;"TAK",0,IF($O41="NIEPOLICZONE",0,IFERROR(ROUND(IF($K41="",$J41,$K41)*IF($N41="",$M41,$N41),2),0)))</f>
        <v/>
      </c>
    </row>
    <row r="42" ht="18" customHeight="1" s="95">
      <c r="A42" s="120" t="inlineStr">
        <is>
          <t>K036</t>
        </is>
      </c>
      <c r="B42" s="127" t="n"/>
      <c r="C42" s="127" t="n"/>
      <c r="D42" s="127" t="n"/>
      <c r="E42" s="127" t="n"/>
      <c r="F42" s="127" t="n"/>
      <c r="G42" s="127" t="n"/>
      <c r="H42" s="127" t="n"/>
      <c r="I42" s="124" t="n"/>
      <c r="J42" s="124" t="n"/>
      <c r="K42" s="124" t="n"/>
      <c r="L42" s="124" t="n"/>
      <c r="M42" s="124" t="n"/>
      <c r="N42" s="124" t="n"/>
      <c r="O42" s="127" t="n"/>
      <c r="P42" s="127" t="n"/>
      <c r="Q42" s="127" t="n"/>
      <c r="R42" s="127" t="n"/>
      <c r="S42" s="127" t="n"/>
      <c r="T42" s="127" t="n"/>
      <c r="U42" s="127" t="n"/>
      <c r="V42" s="129">
        <f>IF($T42&lt;&gt;"TAK",0,IF($O42="NIEPOLICZONE",0,IFERROR(ROUND(IF($I42="",$J42,$I42)*IF($L42="",$M42,$L42),2),0)))</f>
        <v/>
      </c>
      <c r="W42" s="140">
        <f>IF($T42&lt;&gt;"TAK",0,IF($O42="NIEPOLICZONE",0,IFERROR(ROUND($J42*$M42,2),0)))</f>
        <v/>
      </c>
      <c r="X42" s="129">
        <f>IF($T42&lt;&gt;"TAK",0,IF($O42="NIEPOLICZONE",0,IFERROR(ROUND(IF($K42="",$J42,$K42)*IF($N42="",$M42,$N42),2),0)))</f>
        <v/>
      </c>
    </row>
    <row r="43" ht="18" customHeight="1" s="95">
      <c r="A43" s="120" t="inlineStr">
        <is>
          <t>K037</t>
        </is>
      </c>
      <c r="B43" s="127" t="n"/>
      <c r="C43" s="127" t="n"/>
      <c r="D43" s="127" t="n"/>
      <c r="E43" s="127" t="n"/>
      <c r="F43" s="127" t="n"/>
      <c r="G43" s="127" t="n"/>
      <c r="H43" s="127" t="n"/>
      <c r="I43" s="124" t="n"/>
      <c r="J43" s="124" t="n"/>
      <c r="K43" s="124" t="n"/>
      <c r="L43" s="124" t="n"/>
      <c r="M43" s="124" t="n"/>
      <c r="N43" s="124" t="n"/>
      <c r="O43" s="127" t="n"/>
      <c r="P43" s="127" t="n"/>
      <c r="Q43" s="127" t="n"/>
      <c r="R43" s="127" t="n"/>
      <c r="S43" s="127" t="n"/>
      <c r="T43" s="127" t="n"/>
      <c r="U43" s="127" t="n"/>
      <c r="V43" s="129">
        <f>IF($T43&lt;&gt;"TAK",0,IF($O43="NIEPOLICZONE",0,IFERROR(ROUND(IF($I43="",$J43,$I43)*IF($L43="",$M43,$L43),2),0)))</f>
        <v/>
      </c>
      <c r="W43" s="140">
        <f>IF($T43&lt;&gt;"TAK",0,IF($O43="NIEPOLICZONE",0,IFERROR(ROUND($J43*$M43,2),0)))</f>
        <v/>
      </c>
      <c r="X43" s="129">
        <f>IF($T43&lt;&gt;"TAK",0,IF($O43="NIEPOLICZONE",0,IFERROR(ROUND(IF($K43="",$J43,$K43)*IF($N43="",$M43,$N43),2),0)))</f>
        <v/>
      </c>
    </row>
    <row r="44" ht="18" customHeight="1" s="95">
      <c r="A44" s="120" t="inlineStr">
        <is>
          <t>K038</t>
        </is>
      </c>
      <c r="B44" s="127" t="n"/>
      <c r="C44" s="127" t="n"/>
      <c r="D44" s="127" t="n"/>
      <c r="E44" s="127" t="n"/>
      <c r="F44" s="127" t="n"/>
      <c r="G44" s="127" t="n"/>
      <c r="H44" s="127" t="n"/>
      <c r="I44" s="124" t="n"/>
      <c r="J44" s="124" t="n"/>
      <c r="K44" s="124" t="n"/>
      <c r="L44" s="124" t="n"/>
      <c r="M44" s="124" t="n"/>
      <c r="N44" s="124" t="n"/>
      <c r="O44" s="127" t="n"/>
      <c r="P44" s="127" t="n"/>
      <c r="Q44" s="127" t="n"/>
      <c r="R44" s="127" t="n"/>
      <c r="S44" s="127" t="n"/>
      <c r="T44" s="127" t="n"/>
      <c r="U44" s="127" t="n"/>
      <c r="V44" s="129">
        <f>IF($T44&lt;&gt;"TAK",0,IF($O44="NIEPOLICZONE",0,IFERROR(ROUND(IF($I44="",$J44,$I44)*IF($L44="",$M44,$L44),2),0)))</f>
        <v/>
      </c>
      <c r="W44" s="140">
        <f>IF($T44&lt;&gt;"TAK",0,IF($O44="NIEPOLICZONE",0,IFERROR(ROUND($J44*$M44,2),0)))</f>
        <v/>
      </c>
      <c r="X44" s="129">
        <f>IF($T44&lt;&gt;"TAK",0,IF($O44="NIEPOLICZONE",0,IFERROR(ROUND(IF($K44="",$J44,$K44)*IF($N44="",$M44,$N44),2),0)))</f>
        <v/>
      </c>
    </row>
    <row r="45" ht="18" customHeight="1" s="95">
      <c r="A45" s="120" t="inlineStr">
        <is>
          <t>K039</t>
        </is>
      </c>
      <c r="B45" s="127" t="n"/>
      <c r="C45" s="127" t="n"/>
      <c r="D45" s="127" t="n"/>
      <c r="E45" s="127" t="n"/>
      <c r="F45" s="127" t="n"/>
      <c r="G45" s="127" t="n"/>
      <c r="H45" s="127" t="n"/>
      <c r="I45" s="124" t="n"/>
      <c r="J45" s="124" t="n"/>
      <c r="K45" s="124" t="n"/>
      <c r="L45" s="124" t="n"/>
      <c r="M45" s="124" t="n"/>
      <c r="N45" s="124" t="n"/>
      <c r="O45" s="127" t="n"/>
      <c r="P45" s="127" t="n"/>
      <c r="Q45" s="127" t="n"/>
      <c r="R45" s="127" t="n"/>
      <c r="S45" s="127" t="n"/>
      <c r="T45" s="127" t="n"/>
      <c r="U45" s="127" t="n"/>
      <c r="V45" s="129">
        <f>IF($T45&lt;&gt;"TAK",0,IF($O45="NIEPOLICZONE",0,IFERROR(ROUND(IF($I45="",$J45,$I45)*IF($L45="",$M45,$L45),2),0)))</f>
        <v/>
      </c>
      <c r="W45" s="140">
        <f>IF($T45&lt;&gt;"TAK",0,IF($O45="NIEPOLICZONE",0,IFERROR(ROUND($J45*$M45,2),0)))</f>
        <v/>
      </c>
      <c r="X45" s="129">
        <f>IF($T45&lt;&gt;"TAK",0,IF($O45="NIEPOLICZONE",0,IFERROR(ROUND(IF($K45="",$J45,$K45)*IF($N45="",$M45,$N45),2),0)))</f>
        <v/>
      </c>
    </row>
    <row r="46" ht="18" customHeight="1" s="95">
      <c r="A46" s="120" t="inlineStr">
        <is>
          <t>K040</t>
        </is>
      </c>
      <c r="B46" s="127" t="n"/>
      <c r="C46" s="127" t="n"/>
      <c r="D46" s="127" t="n"/>
      <c r="E46" s="127" t="n"/>
      <c r="F46" s="127" t="n"/>
      <c r="G46" s="127" t="n"/>
      <c r="H46" s="127" t="n"/>
      <c r="I46" s="124" t="n"/>
      <c r="J46" s="124" t="n"/>
      <c r="K46" s="124" t="n"/>
      <c r="L46" s="124" t="n"/>
      <c r="M46" s="124" t="n"/>
      <c r="N46" s="124" t="n"/>
      <c r="O46" s="127" t="n"/>
      <c r="P46" s="127" t="n"/>
      <c r="Q46" s="127" t="n"/>
      <c r="R46" s="127" t="n"/>
      <c r="S46" s="127" t="n"/>
      <c r="T46" s="127" t="n"/>
      <c r="U46" s="127" t="n"/>
      <c r="V46" s="129">
        <f>IF($T46&lt;&gt;"TAK",0,IF($O46="NIEPOLICZONE",0,IFERROR(ROUND(IF($I46="",$J46,$I46)*IF($L46="",$M46,$L46),2),0)))</f>
        <v/>
      </c>
      <c r="W46" s="140">
        <f>IF($T46&lt;&gt;"TAK",0,IF($O46="NIEPOLICZONE",0,IFERROR(ROUND($J46*$M46,2),0)))</f>
        <v/>
      </c>
      <c r="X46" s="129">
        <f>IF($T46&lt;&gt;"TAK",0,IF($O46="NIEPOLICZONE",0,IFERROR(ROUND(IF($K46="",$J46,$K46)*IF($N46="",$M46,$N46),2),0)))</f>
        <v/>
      </c>
    </row>
    <row r="47" ht="18" customHeight="1" s="95">
      <c r="A47" s="120" t="inlineStr">
        <is>
          <t>K041</t>
        </is>
      </c>
      <c r="B47" s="127" t="n"/>
      <c r="C47" s="127" t="n"/>
      <c r="D47" s="127" t="n"/>
      <c r="E47" s="127" t="n"/>
      <c r="F47" s="127" t="n"/>
      <c r="G47" s="127" t="n"/>
      <c r="H47" s="127" t="n"/>
      <c r="I47" s="124" t="n"/>
      <c r="J47" s="124" t="n"/>
      <c r="K47" s="124" t="n"/>
      <c r="L47" s="124" t="n"/>
      <c r="M47" s="124" t="n"/>
      <c r="N47" s="124" t="n"/>
      <c r="O47" s="127" t="n"/>
      <c r="P47" s="127" t="n"/>
      <c r="Q47" s="127" t="n"/>
      <c r="R47" s="127" t="n"/>
      <c r="S47" s="127" t="n"/>
      <c r="T47" s="127" t="n"/>
      <c r="U47" s="127" t="n"/>
      <c r="V47" s="129">
        <f>IF($T47&lt;&gt;"TAK",0,IF($O47="NIEPOLICZONE",0,IFERROR(ROUND(IF($I47="",$J47,$I47)*IF($L47="",$M47,$L47),2),0)))</f>
        <v/>
      </c>
      <c r="W47" s="140">
        <f>IF($T47&lt;&gt;"TAK",0,IF($O47="NIEPOLICZONE",0,IFERROR(ROUND($J47*$M47,2),0)))</f>
        <v/>
      </c>
      <c r="X47" s="129">
        <f>IF($T47&lt;&gt;"TAK",0,IF($O47="NIEPOLICZONE",0,IFERROR(ROUND(IF($K47="",$J47,$K47)*IF($N47="",$M47,$N47),2),0)))</f>
        <v/>
      </c>
    </row>
    <row r="48" ht="18" customHeight="1" s="95">
      <c r="A48" s="120" t="inlineStr">
        <is>
          <t>K042</t>
        </is>
      </c>
      <c r="B48" s="127" t="n"/>
      <c r="C48" s="127" t="n"/>
      <c r="D48" s="127" t="n"/>
      <c r="E48" s="127" t="n"/>
      <c r="F48" s="127" t="n"/>
      <c r="G48" s="127" t="n"/>
      <c r="H48" s="127" t="n"/>
      <c r="I48" s="124" t="n"/>
      <c r="J48" s="124" t="n"/>
      <c r="K48" s="124" t="n"/>
      <c r="L48" s="124" t="n"/>
      <c r="M48" s="124" t="n"/>
      <c r="N48" s="124" t="n"/>
      <c r="O48" s="127" t="n"/>
      <c r="P48" s="127" t="n"/>
      <c r="Q48" s="127" t="n"/>
      <c r="R48" s="127" t="n"/>
      <c r="S48" s="127" t="n"/>
      <c r="T48" s="127" t="n"/>
      <c r="U48" s="127" t="n"/>
      <c r="V48" s="129">
        <f>IF($T48&lt;&gt;"TAK",0,IF($O48="NIEPOLICZONE",0,IFERROR(ROUND(IF($I48="",$J48,$I48)*IF($L48="",$M48,$L48),2),0)))</f>
        <v/>
      </c>
      <c r="W48" s="140">
        <f>IF($T48&lt;&gt;"TAK",0,IF($O48="NIEPOLICZONE",0,IFERROR(ROUND($J48*$M48,2),0)))</f>
        <v/>
      </c>
      <c r="X48" s="129">
        <f>IF($T48&lt;&gt;"TAK",0,IF($O48="NIEPOLICZONE",0,IFERROR(ROUND(IF($K48="",$J48,$K48)*IF($N48="",$M48,$N48),2),0)))</f>
        <v/>
      </c>
    </row>
    <row r="49" ht="18" customHeight="1" s="95">
      <c r="A49" s="120" t="inlineStr">
        <is>
          <t>K043</t>
        </is>
      </c>
      <c r="B49" s="127" t="n"/>
      <c r="C49" s="127" t="n"/>
      <c r="D49" s="127" t="n"/>
      <c r="E49" s="127" t="n"/>
      <c r="F49" s="127" t="n"/>
      <c r="G49" s="127" t="n"/>
      <c r="H49" s="127" t="n"/>
      <c r="I49" s="124" t="n"/>
      <c r="J49" s="124" t="n"/>
      <c r="K49" s="124" t="n"/>
      <c r="L49" s="124" t="n"/>
      <c r="M49" s="124" t="n"/>
      <c r="N49" s="124" t="n"/>
      <c r="O49" s="127" t="n"/>
      <c r="P49" s="127" t="n"/>
      <c r="Q49" s="127" t="n"/>
      <c r="R49" s="127" t="n"/>
      <c r="S49" s="127" t="n"/>
      <c r="T49" s="127" t="n"/>
      <c r="U49" s="127" t="n"/>
      <c r="V49" s="129">
        <f>IF($T49&lt;&gt;"TAK",0,IF($O49="NIEPOLICZONE",0,IFERROR(ROUND(IF($I49="",$J49,$I49)*IF($L49="",$M49,$L49),2),0)))</f>
        <v/>
      </c>
      <c r="W49" s="140">
        <f>IF($T49&lt;&gt;"TAK",0,IF($O49="NIEPOLICZONE",0,IFERROR(ROUND($J49*$M49,2),0)))</f>
        <v/>
      </c>
      <c r="X49" s="129">
        <f>IF($T49&lt;&gt;"TAK",0,IF($O49="NIEPOLICZONE",0,IFERROR(ROUND(IF($K49="",$J49,$K49)*IF($N49="",$M49,$N49),2),0)))</f>
        <v/>
      </c>
    </row>
    <row r="50" ht="18" customHeight="1" s="95">
      <c r="A50" s="120" t="inlineStr">
        <is>
          <t>K044</t>
        </is>
      </c>
      <c r="B50" s="127" t="n"/>
      <c r="C50" s="127" t="n"/>
      <c r="D50" s="127" t="n"/>
      <c r="E50" s="127" t="n"/>
      <c r="F50" s="127" t="n"/>
      <c r="G50" s="127" t="n"/>
      <c r="H50" s="127" t="n"/>
      <c r="I50" s="124" t="n"/>
      <c r="J50" s="124" t="n"/>
      <c r="K50" s="124" t="n"/>
      <c r="L50" s="124" t="n"/>
      <c r="M50" s="124" t="n"/>
      <c r="N50" s="124" t="n"/>
      <c r="O50" s="127" t="n"/>
      <c r="P50" s="127" t="n"/>
      <c r="Q50" s="127" t="n"/>
      <c r="R50" s="127" t="n"/>
      <c r="S50" s="127" t="n"/>
      <c r="T50" s="127" t="n"/>
      <c r="U50" s="127" t="n"/>
      <c r="V50" s="129">
        <f>IF($T50&lt;&gt;"TAK",0,IF($O50="NIEPOLICZONE",0,IFERROR(ROUND(IF($I50="",$J50,$I50)*IF($L50="",$M50,$L50),2),0)))</f>
        <v/>
      </c>
      <c r="W50" s="140">
        <f>IF($T50&lt;&gt;"TAK",0,IF($O50="NIEPOLICZONE",0,IFERROR(ROUND($J50*$M50,2),0)))</f>
        <v/>
      </c>
      <c r="X50" s="129">
        <f>IF($T50&lt;&gt;"TAK",0,IF($O50="NIEPOLICZONE",0,IFERROR(ROUND(IF($K50="",$J50,$K50)*IF($N50="",$M50,$N50),2),0)))</f>
        <v/>
      </c>
    </row>
    <row r="51" ht="18" customHeight="1" s="95">
      <c r="A51" s="120" t="inlineStr">
        <is>
          <t>K045</t>
        </is>
      </c>
      <c r="B51" s="127" t="n"/>
      <c r="C51" s="127" t="n"/>
      <c r="D51" s="127" t="n"/>
      <c r="E51" s="127" t="n"/>
      <c r="F51" s="127" t="n"/>
      <c r="G51" s="127" t="n"/>
      <c r="H51" s="127" t="n"/>
      <c r="I51" s="124" t="n"/>
      <c r="J51" s="124" t="n"/>
      <c r="K51" s="124" t="n"/>
      <c r="L51" s="124" t="n"/>
      <c r="M51" s="124" t="n"/>
      <c r="N51" s="124" t="n"/>
      <c r="O51" s="127" t="n"/>
      <c r="P51" s="127" t="n"/>
      <c r="Q51" s="127" t="n"/>
      <c r="R51" s="127" t="n"/>
      <c r="S51" s="127" t="n"/>
      <c r="T51" s="127" t="n"/>
      <c r="U51" s="127" t="n"/>
      <c r="V51" s="129">
        <f>IF($T51&lt;&gt;"TAK",0,IF($O51="NIEPOLICZONE",0,IFERROR(ROUND(IF($I51="",$J51,$I51)*IF($L51="",$M51,$L51),2),0)))</f>
        <v/>
      </c>
      <c r="W51" s="140">
        <f>IF($T51&lt;&gt;"TAK",0,IF($O51="NIEPOLICZONE",0,IFERROR(ROUND($J51*$M51,2),0)))</f>
        <v/>
      </c>
      <c r="X51" s="129">
        <f>IF($T51&lt;&gt;"TAK",0,IF($O51="NIEPOLICZONE",0,IFERROR(ROUND(IF($K51="",$J51,$K51)*IF($N51="",$M51,$N51),2),0)))</f>
        <v/>
      </c>
    </row>
    <row r="52" ht="18" customHeight="1" s="95">
      <c r="A52" s="120" t="inlineStr">
        <is>
          <t>K046</t>
        </is>
      </c>
      <c r="B52" s="127" t="n"/>
      <c r="C52" s="127" t="n"/>
      <c r="D52" s="127" t="n"/>
      <c r="E52" s="127" t="n"/>
      <c r="F52" s="127" t="n"/>
      <c r="G52" s="127" t="n"/>
      <c r="H52" s="127" t="n"/>
      <c r="I52" s="124" t="n"/>
      <c r="J52" s="124" t="n"/>
      <c r="K52" s="124" t="n"/>
      <c r="L52" s="124" t="n"/>
      <c r="M52" s="124" t="n"/>
      <c r="N52" s="124" t="n"/>
      <c r="O52" s="127" t="n"/>
      <c r="P52" s="127" t="n"/>
      <c r="Q52" s="127" t="n"/>
      <c r="R52" s="127" t="n"/>
      <c r="S52" s="127" t="n"/>
      <c r="T52" s="127" t="n"/>
      <c r="U52" s="127" t="n"/>
      <c r="V52" s="129">
        <f>IF($T52&lt;&gt;"TAK",0,IF($O52="NIEPOLICZONE",0,IFERROR(ROUND(IF($I52="",$J52,$I52)*IF($L52="",$M52,$L52),2),0)))</f>
        <v/>
      </c>
      <c r="W52" s="140">
        <f>IF($T52&lt;&gt;"TAK",0,IF($O52="NIEPOLICZONE",0,IFERROR(ROUND($J52*$M52,2),0)))</f>
        <v/>
      </c>
      <c r="X52" s="129">
        <f>IF($T52&lt;&gt;"TAK",0,IF($O52="NIEPOLICZONE",0,IFERROR(ROUND(IF($K52="",$J52,$K52)*IF($N52="",$M52,$N52),2),0)))</f>
        <v/>
      </c>
    </row>
    <row r="53" ht="18" customHeight="1" s="95">
      <c r="A53" s="120" t="inlineStr">
        <is>
          <t>K047</t>
        </is>
      </c>
      <c r="B53" s="127" t="n"/>
      <c r="C53" s="127" t="n"/>
      <c r="D53" s="127" t="n"/>
      <c r="E53" s="127" t="n"/>
      <c r="F53" s="127" t="n"/>
      <c r="G53" s="127" t="n"/>
      <c r="H53" s="127" t="n"/>
      <c r="I53" s="124" t="n"/>
      <c r="J53" s="124" t="n"/>
      <c r="K53" s="124" t="n"/>
      <c r="L53" s="124" t="n"/>
      <c r="M53" s="124" t="n"/>
      <c r="N53" s="124" t="n"/>
      <c r="O53" s="127" t="n"/>
      <c r="P53" s="127" t="n"/>
      <c r="Q53" s="127" t="n"/>
      <c r="R53" s="127" t="n"/>
      <c r="S53" s="127" t="n"/>
      <c r="T53" s="127" t="n"/>
      <c r="U53" s="127" t="n"/>
      <c r="V53" s="129">
        <f>IF($T53&lt;&gt;"TAK",0,IF($O53="NIEPOLICZONE",0,IFERROR(ROUND(IF($I53="",$J53,$I53)*IF($L53="",$M53,$L53),2),0)))</f>
        <v/>
      </c>
      <c r="W53" s="140">
        <f>IF($T53&lt;&gt;"TAK",0,IF($O53="NIEPOLICZONE",0,IFERROR(ROUND($J53*$M53,2),0)))</f>
        <v/>
      </c>
      <c r="X53" s="129">
        <f>IF($T53&lt;&gt;"TAK",0,IF($O53="NIEPOLICZONE",0,IFERROR(ROUND(IF($K53="",$J53,$K53)*IF($N53="",$M53,$N53),2),0)))</f>
        <v/>
      </c>
    </row>
    <row r="54" ht="18" customHeight="1" s="95">
      <c r="A54" s="120" t="inlineStr">
        <is>
          <t>K048</t>
        </is>
      </c>
      <c r="B54" s="127" t="n"/>
      <c r="C54" s="127" t="n"/>
      <c r="D54" s="127" t="n"/>
      <c r="E54" s="127" t="n"/>
      <c r="F54" s="127" t="n"/>
      <c r="G54" s="127" t="n"/>
      <c r="H54" s="127" t="n"/>
      <c r="I54" s="124" t="n"/>
      <c r="J54" s="124" t="n"/>
      <c r="K54" s="124" t="n"/>
      <c r="L54" s="124" t="n"/>
      <c r="M54" s="124" t="n"/>
      <c r="N54" s="124" t="n"/>
      <c r="O54" s="127" t="n"/>
      <c r="P54" s="127" t="n"/>
      <c r="Q54" s="127" t="n"/>
      <c r="R54" s="127" t="n"/>
      <c r="S54" s="127" t="n"/>
      <c r="T54" s="127" t="n"/>
      <c r="U54" s="127" t="n"/>
      <c r="V54" s="129">
        <f>IF($T54&lt;&gt;"TAK",0,IF($O54="NIEPOLICZONE",0,IFERROR(ROUND(IF($I54="",$J54,$I54)*IF($L54="",$M54,$L54),2),0)))</f>
        <v/>
      </c>
      <c r="W54" s="140">
        <f>IF($T54&lt;&gt;"TAK",0,IF($O54="NIEPOLICZONE",0,IFERROR(ROUND($J54*$M54,2),0)))</f>
        <v/>
      </c>
      <c r="X54" s="129">
        <f>IF($T54&lt;&gt;"TAK",0,IF($O54="NIEPOLICZONE",0,IFERROR(ROUND(IF($K54="",$J54,$K54)*IF($N54="",$M54,$N54),2),0)))</f>
        <v/>
      </c>
    </row>
    <row r="55" ht="18" customHeight="1" s="95">
      <c r="A55" s="120" t="inlineStr">
        <is>
          <t>K049</t>
        </is>
      </c>
      <c r="B55" s="127" t="n"/>
      <c r="C55" s="127" t="n"/>
      <c r="D55" s="127" t="n"/>
      <c r="E55" s="127" t="n"/>
      <c r="F55" s="127" t="n"/>
      <c r="G55" s="127" t="n"/>
      <c r="H55" s="127" t="n"/>
      <c r="I55" s="124" t="n"/>
      <c r="J55" s="124" t="n"/>
      <c r="K55" s="124" t="n"/>
      <c r="L55" s="124" t="n"/>
      <c r="M55" s="124" t="n"/>
      <c r="N55" s="124" t="n"/>
      <c r="O55" s="127" t="n"/>
      <c r="P55" s="127" t="n"/>
      <c r="Q55" s="127" t="n"/>
      <c r="R55" s="127" t="n"/>
      <c r="S55" s="127" t="n"/>
      <c r="T55" s="127" t="n"/>
      <c r="U55" s="127" t="n"/>
      <c r="V55" s="129">
        <f>IF($T55&lt;&gt;"TAK",0,IF($O55="NIEPOLICZONE",0,IFERROR(ROUND(IF($I55="",$J55,$I55)*IF($L55="",$M55,$L55),2),0)))</f>
        <v/>
      </c>
      <c r="W55" s="140">
        <f>IF($T55&lt;&gt;"TAK",0,IF($O55="NIEPOLICZONE",0,IFERROR(ROUND($J55*$M55,2),0)))</f>
        <v/>
      </c>
      <c r="X55" s="129">
        <f>IF($T55&lt;&gt;"TAK",0,IF($O55="NIEPOLICZONE",0,IFERROR(ROUND(IF($K55="",$J55,$K55)*IF($N55="",$M55,$N55),2),0)))</f>
        <v/>
      </c>
    </row>
    <row r="56" ht="18" customHeight="1" s="95">
      <c r="A56" s="120" t="inlineStr">
        <is>
          <t>K050</t>
        </is>
      </c>
      <c r="B56" s="127" t="n"/>
      <c r="C56" s="127" t="n"/>
      <c r="D56" s="127" t="n"/>
      <c r="E56" s="127" t="n"/>
      <c r="F56" s="127" t="n"/>
      <c r="G56" s="127" t="n"/>
      <c r="H56" s="127" t="n"/>
      <c r="I56" s="124" t="n"/>
      <c r="J56" s="124" t="n"/>
      <c r="K56" s="124" t="n"/>
      <c r="L56" s="124" t="n"/>
      <c r="M56" s="124" t="n"/>
      <c r="N56" s="124" t="n"/>
      <c r="O56" s="127" t="n"/>
      <c r="P56" s="127" t="n"/>
      <c r="Q56" s="127" t="n"/>
      <c r="R56" s="127" t="n"/>
      <c r="S56" s="127" t="n"/>
      <c r="T56" s="127" t="n"/>
      <c r="U56" s="127" t="n"/>
      <c r="V56" s="129">
        <f>IF($T56&lt;&gt;"TAK",0,IF($O56="NIEPOLICZONE",0,IFERROR(ROUND(IF($I56="",$J56,$I56)*IF($L56="",$M56,$L56),2),0)))</f>
        <v/>
      </c>
      <c r="W56" s="140">
        <f>IF($T56&lt;&gt;"TAK",0,IF($O56="NIEPOLICZONE",0,IFERROR(ROUND($J56*$M56,2),0)))</f>
        <v/>
      </c>
      <c r="X56" s="129">
        <f>IF($T56&lt;&gt;"TAK",0,IF($O56="NIEPOLICZONE",0,IFERROR(ROUND(IF($K56="",$J56,$K56)*IF($N56="",$M56,$N56),2),0)))</f>
        <v/>
      </c>
    </row>
    <row r="57" ht="18" customHeight="1" s="95">
      <c r="A57" s="120" t="inlineStr">
        <is>
          <t>K051</t>
        </is>
      </c>
      <c r="B57" s="127" t="n"/>
      <c r="C57" s="127" t="n"/>
      <c r="D57" s="127" t="n"/>
      <c r="E57" s="127" t="n"/>
      <c r="F57" s="127" t="n"/>
      <c r="G57" s="127" t="n"/>
      <c r="H57" s="127" t="n"/>
      <c r="I57" s="124" t="n"/>
      <c r="J57" s="124" t="n"/>
      <c r="K57" s="124" t="n"/>
      <c r="L57" s="124" t="n"/>
      <c r="M57" s="124" t="n"/>
      <c r="N57" s="124" t="n"/>
      <c r="O57" s="127" t="n"/>
      <c r="P57" s="127" t="n"/>
      <c r="Q57" s="127" t="n"/>
      <c r="R57" s="127" t="n"/>
      <c r="S57" s="127" t="n"/>
      <c r="T57" s="127" t="n"/>
      <c r="U57" s="127" t="n"/>
      <c r="V57" s="129">
        <f>IF($T57&lt;&gt;"TAK",0,IF($O57="NIEPOLICZONE",0,IFERROR(ROUND(IF($I57="",$J57,$I57)*IF($L57="",$M57,$L57),2),0)))</f>
        <v/>
      </c>
      <c r="W57" s="140">
        <f>IF($T57&lt;&gt;"TAK",0,IF($O57="NIEPOLICZONE",0,IFERROR(ROUND($J57*$M57,2),0)))</f>
        <v/>
      </c>
      <c r="X57" s="129">
        <f>IF($T57&lt;&gt;"TAK",0,IF($O57="NIEPOLICZONE",0,IFERROR(ROUND(IF($K57="",$J57,$K57)*IF($N57="",$M57,$N57),2),0)))</f>
        <v/>
      </c>
    </row>
    <row r="58" ht="18" customHeight="1" s="95">
      <c r="A58" s="120" t="inlineStr">
        <is>
          <t>K052</t>
        </is>
      </c>
      <c r="B58" s="127" t="n"/>
      <c r="C58" s="127" t="n"/>
      <c r="D58" s="127" t="n"/>
      <c r="E58" s="127" t="n"/>
      <c r="F58" s="127" t="n"/>
      <c r="G58" s="127" t="n"/>
      <c r="H58" s="127" t="n"/>
      <c r="I58" s="124" t="n"/>
      <c r="J58" s="124" t="n"/>
      <c r="K58" s="124" t="n"/>
      <c r="L58" s="124" t="n"/>
      <c r="M58" s="124" t="n"/>
      <c r="N58" s="124" t="n"/>
      <c r="O58" s="127" t="n"/>
      <c r="P58" s="127" t="n"/>
      <c r="Q58" s="127" t="n"/>
      <c r="R58" s="127" t="n"/>
      <c r="S58" s="127" t="n"/>
      <c r="T58" s="127" t="n"/>
      <c r="U58" s="127" t="n"/>
      <c r="V58" s="129">
        <f>IF($T58&lt;&gt;"TAK",0,IF($O58="NIEPOLICZONE",0,IFERROR(ROUND(IF($I58="",$J58,$I58)*IF($L58="",$M58,$L58),2),0)))</f>
        <v/>
      </c>
      <c r="W58" s="140">
        <f>IF($T58&lt;&gt;"TAK",0,IF($O58="NIEPOLICZONE",0,IFERROR(ROUND($J58*$M58,2),0)))</f>
        <v/>
      </c>
      <c r="X58" s="129">
        <f>IF($T58&lt;&gt;"TAK",0,IF($O58="NIEPOLICZONE",0,IFERROR(ROUND(IF($K58="",$J58,$K58)*IF($N58="",$M58,$N58),2),0)))</f>
        <v/>
      </c>
    </row>
    <row r="59" ht="18" customHeight="1" s="95">
      <c r="A59" s="120" t="inlineStr">
        <is>
          <t>K053</t>
        </is>
      </c>
      <c r="B59" s="127" t="n"/>
      <c r="C59" s="127" t="n"/>
      <c r="D59" s="127" t="n"/>
      <c r="E59" s="127" t="n"/>
      <c r="F59" s="127" t="n"/>
      <c r="G59" s="127" t="n"/>
      <c r="H59" s="127" t="n"/>
      <c r="I59" s="124" t="n"/>
      <c r="J59" s="124" t="n"/>
      <c r="K59" s="124" t="n"/>
      <c r="L59" s="124" t="n"/>
      <c r="M59" s="124" t="n"/>
      <c r="N59" s="124" t="n"/>
      <c r="O59" s="127" t="n"/>
      <c r="P59" s="127" t="n"/>
      <c r="Q59" s="127" t="n"/>
      <c r="R59" s="127" t="n"/>
      <c r="S59" s="127" t="n"/>
      <c r="T59" s="127" t="n"/>
      <c r="U59" s="127" t="n"/>
      <c r="V59" s="129">
        <f>IF($T59&lt;&gt;"TAK",0,IF($O59="NIEPOLICZONE",0,IFERROR(ROUND(IF($I59="",$J59,$I59)*IF($L59="",$M59,$L59),2),0)))</f>
        <v/>
      </c>
      <c r="W59" s="140">
        <f>IF($T59&lt;&gt;"TAK",0,IF($O59="NIEPOLICZONE",0,IFERROR(ROUND($J59*$M59,2),0)))</f>
        <v/>
      </c>
      <c r="X59" s="129">
        <f>IF($T59&lt;&gt;"TAK",0,IF($O59="NIEPOLICZONE",0,IFERROR(ROUND(IF($K59="",$J59,$K59)*IF($N59="",$M59,$N59),2),0)))</f>
        <v/>
      </c>
    </row>
    <row r="60" ht="18" customHeight="1" s="95">
      <c r="A60" s="120" t="inlineStr">
        <is>
          <t>K054</t>
        </is>
      </c>
      <c r="B60" s="127" t="n"/>
      <c r="C60" s="127" t="n"/>
      <c r="D60" s="127" t="n"/>
      <c r="E60" s="127" t="n"/>
      <c r="F60" s="127" t="n"/>
      <c r="G60" s="127" t="n"/>
      <c r="H60" s="127" t="n"/>
      <c r="I60" s="124" t="n"/>
      <c r="J60" s="124" t="n"/>
      <c r="K60" s="124" t="n"/>
      <c r="L60" s="124" t="n"/>
      <c r="M60" s="124" t="n"/>
      <c r="N60" s="124" t="n"/>
      <c r="O60" s="127" t="n"/>
      <c r="P60" s="127" t="n"/>
      <c r="Q60" s="127" t="n"/>
      <c r="R60" s="127" t="n"/>
      <c r="S60" s="127" t="n"/>
      <c r="T60" s="127" t="n"/>
      <c r="U60" s="127" t="n"/>
      <c r="V60" s="129">
        <f>IF($T60&lt;&gt;"TAK",0,IF($O60="NIEPOLICZONE",0,IFERROR(ROUND(IF($I60="",$J60,$I60)*IF($L60="",$M60,$L60),2),0)))</f>
        <v/>
      </c>
      <c r="W60" s="140">
        <f>IF($T60&lt;&gt;"TAK",0,IF($O60="NIEPOLICZONE",0,IFERROR(ROUND($J60*$M60,2),0)))</f>
        <v/>
      </c>
      <c r="X60" s="129">
        <f>IF($T60&lt;&gt;"TAK",0,IF($O60="NIEPOLICZONE",0,IFERROR(ROUND(IF($K60="",$J60,$K60)*IF($N60="",$M60,$N60),2),0)))</f>
        <v/>
      </c>
    </row>
    <row r="61" ht="18" customHeight="1" s="95">
      <c r="A61" s="120" t="inlineStr">
        <is>
          <t>K055</t>
        </is>
      </c>
      <c r="B61" s="127" t="n"/>
      <c r="C61" s="127" t="n"/>
      <c r="D61" s="127" t="n"/>
      <c r="E61" s="127" t="n"/>
      <c r="F61" s="127" t="n"/>
      <c r="G61" s="127" t="n"/>
      <c r="H61" s="127" t="n"/>
      <c r="I61" s="124" t="n"/>
      <c r="J61" s="124" t="n"/>
      <c r="K61" s="124" t="n"/>
      <c r="L61" s="124" t="n"/>
      <c r="M61" s="124" t="n"/>
      <c r="N61" s="124" t="n"/>
      <c r="O61" s="127" t="n"/>
      <c r="P61" s="127" t="n"/>
      <c r="Q61" s="127" t="n"/>
      <c r="R61" s="127" t="n"/>
      <c r="S61" s="127" t="n"/>
      <c r="T61" s="127" t="n"/>
      <c r="U61" s="127" t="n"/>
      <c r="V61" s="129">
        <f>IF($T61&lt;&gt;"TAK",0,IF($O61="NIEPOLICZONE",0,IFERROR(ROUND(IF($I61="",$J61,$I61)*IF($L61="",$M61,$L61),2),0)))</f>
        <v/>
      </c>
      <c r="W61" s="140">
        <f>IF($T61&lt;&gt;"TAK",0,IF($O61="NIEPOLICZONE",0,IFERROR(ROUND($J61*$M61,2),0)))</f>
        <v/>
      </c>
      <c r="X61" s="129">
        <f>IF($T61&lt;&gt;"TAK",0,IF($O61="NIEPOLICZONE",0,IFERROR(ROUND(IF($K61="",$J61,$K61)*IF($N61="",$M61,$N61),2),0)))</f>
        <v/>
      </c>
    </row>
    <row r="62" ht="18" customHeight="1" s="95">
      <c r="A62" s="120" t="inlineStr">
        <is>
          <t>K056</t>
        </is>
      </c>
      <c r="B62" s="127" t="n"/>
      <c r="C62" s="127" t="n"/>
      <c r="D62" s="127" t="n"/>
      <c r="E62" s="127" t="n"/>
      <c r="F62" s="127" t="n"/>
      <c r="G62" s="127" t="n"/>
      <c r="H62" s="127" t="n"/>
      <c r="I62" s="124" t="n"/>
      <c r="J62" s="124" t="n"/>
      <c r="K62" s="124" t="n"/>
      <c r="L62" s="124" t="n"/>
      <c r="M62" s="124" t="n"/>
      <c r="N62" s="124" t="n"/>
      <c r="O62" s="127" t="n"/>
      <c r="P62" s="127" t="n"/>
      <c r="Q62" s="127" t="n"/>
      <c r="R62" s="127" t="n"/>
      <c r="S62" s="127" t="n"/>
      <c r="T62" s="127" t="n"/>
      <c r="U62" s="127" t="n"/>
      <c r="V62" s="129">
        <f>IF($T62&lt;&gt;"TAK",0,IF($O62="NIEPOLICZONE",0,IFERROR(ROUND(IF($I62="",$J62,$I62)*IF($L62="",$M62,$L62),2),0)))</f>
        <v/>
      </c>
      <c r="W62" s="140">
        <f>IF($T62&lt;&gt;"TAK",0,IF($O62="NIEPOLICZONE",0,IFERROR(ROUND($J62*$M62,2),0)))</f>
        <v/>
      </c>
      <c r="X62" s="129">
        <f>IF($T62&lt;&gt;"TAK",0,IF($O62="NIEPOLICZONE",0,IFERROR(ROUND(IF($K62="",$J62,$K62)*IF($N62="",$M62,$N62),2),0)))</f>
        <v/>
      </c>
    </row>
    <row r="63" ht="18" customHeight="1" s="95">
      <c r="A63" s="120" t="inlineStr">
        <is>
          <t>K057</t>
        </is>
      </c>
      <c r="B63" s="127" t="n"/>
      <c r="C63" s="127" t="n"/>
      <c r="D63" s="127" t="n"/>
      <c r="E63" s="127" t="n"/>
      <c r="F63" s="127" t="n"/>
      <c r="G63" s="127" t="n"/>
      <c r="H63" s="127" t="n"/>
      <c r="I63" s="124" t="n"/>
      <c r="J63" s="124" t="n"/>
      <c r="K63" s="124" t="n"/>
      <c r="L63" s="124" t="n"/>
      <c r="M63" s="124" t="n"/>
      <c r="N63" s="124" t="n"/>
      <c r="O63" s="127" t="n"/>
      <c r="P63" s="127" t="n"/>
      <c r="Q63" s="127" t="n"/>
      <c r="R63" s="127" t="n"/>
      <c r="S63" s="127" t="n"/>
      <c r="T63" s="127" t="n"/>
      <c r="U63" s="127" t="n"/>
      <c r="V63" s="129">
        <f>IF($T63&lt;&gt;"TAK",0,IF($O63="NIEPOLICZONE",0,IFERROR(ROUND(IF($I63="",$J63,$I63)*IF($L63="",$M63,$L63),2),0)))</f>
        <v/>
      </c>
      <c r="W63" s="140">
        <f>IF($T63&lt;&gt;"TAK",0,IF($O63="NIEPOLICZONE",0,IFERROR(ROUND($J63*$M63,2),0)))</f>
        <v/>
      </c>
      <c r="X63" s="129">
        <f>IF($T63&lt;&gt;"TAK",0,IF($O63="NIEPOLICZONE",0,IFERROR(ROUND(IF($K63="",$J63,$K63)*IF($N63="",$M63,$N63),2),0)))</f>
        <v/>
      </c>
    </row>
    <row r="64" ht="18" customHeight="1" s="95">
      <c r="A64" s="120" t="inlineStr">
        <is>
          <t>K058</t>
        </is>
      </c>
      <c r="B64" s="127" t="n"/>
      <c r="C64" s="127" t="n"/>
      <c r="D64" s="127" t="n"/>
      <c r="E64" s="127" t="n"/>
      <c r="F64" s="127" t="n"/>
      <c r="G64" s="127" t="n"/>
      <c r="H64" s="127" t="n"/>
      <c r="I64" s="124" t="n"/>
      <c r="J64" s="124" t="n"/>
      <c r="K64" s="124" t="n"/>
      <c r="L64" s="124" t="n"/>
      <c r="M64" s="124" t="n"/>
      <c r="N64" s="124" t="n"/>
      <c r="O64" s="127" t="n"/>
      <c r="P64" s="127" t="n"/>
      <c r="Q64" s="127" t="n"/>
      <c r="R64" s="127" t="n"/>
      <c r="S64" s="127" t="n"/>
      <c r="T64" s="127" t="n"/>
      <c r="U64" s="127" t="n"/>
      <c r="V64" s="129">
        <f>IF($T64&lt;&gt;"TAK",0,IF($O64="NIEPOLICZONE",0,IFERROR(ROUND(IF($I64="",$J64,$I64)*IF($L64="",$M64,$L64),2),0)))</f>
        <v/>
      </c>
      <c r="W64" s="140">
        <f>IF($T64&lt;&gt;"TAK",0,IF($O64="NIEPOLICZONE",0,IFERROR(ROUND($J64*$M64,2),0)))</f>
        <v/>
      </c>
      <c r="X64" s="129">
        <f>IF($T64&lt;&gt;"TAK",0,IF($O64="NIEPOLICZONE",0,IFERROR(ROUND(IF($K64="",$J64,$K64)*IF($N64="",$M64,$N64),2),0)))</f>
        <v/>
      </c>
    </row>
    <row r="65" ht="18" customHeight="1" s="95">
      <c r="A65" s="120" t="inlineStr">
        <is>
          <t>K059</t>
        </is>
      </c>
      <c r="B65" s="127" t="n"/>
      <c r="C65" s="127" t="n"/>
      <c r="D65" s="127" t="n"/>
      <c r="E65" s="127" t="n"/>
      <c r="F65" s="127" t="n"/>
      <c r="G65" s="127" t="n"/>
      <c r="H65" s="127" t="n"/>
      <c r="I65" s="124" t="n"/>
      <c r="J65" s="124" t="n"/>
      <c r="K65" s="124" t="n"/>
      <c r="L65" s="124" t="n"/>
      <c r="M65" s="124" t="n"/>
      <c r="N65" s="124" t="n"/>
      <c r="O65" s="127" t="n"/>
      <c r="P65" s="127" t="n"/>
      <c r="Q65" s="127" t="n"/>
      <c r="R65" s="127" t="n"/>
      <c r="S65" s="127" t="n"/>
      <c r="T65" s="127" t="n"/>
      <c r="U65" s="127" t="n"/>
      <c r="V65" s="129">
        <f>IF($T65&lt;&gt;"TAK",0,IF($O65="NIEPOLICZONE",0,IFERROR(ROUND(IF($I65="",$J65,$I65)*IF($L65="",$M65,$L65),2),0)))</f>
        <v/>
      </c>
      <c r="W65" s="140">
        <f>IF($T65&lt;&gt;"TAK",0,IF($O65="NIEPOLICZONE",0,IFERROR(ROUND($J65*$M65,2),0)))</f>
        <v/>
      </c>
      <c r="X65" s="129">
        <f>IF($T65&lt;&gt;"TAK",0,IF($O65="NIEPOLICZONE",0,IFERROR(ROUND(IF($K65="",$J65,$K65)*IF($N65="",$M65,$N65),2),0)))</f>
        <v/>
      </c>
    </row>
    <row r="66" ht="18" customHeight="1" s="95">
      <c r="A66" s="120" t="inlineStr">
        <is>
          <t>K060</t>
        </is>
      </c>
      <c r="B66" s="127" t="n"/>
      <c r="C66" s="127" t="n"/>
      <c r="D66" s="127" t="n"/>
      <c r="E66" s="127" t="n"/>
      <c r="F66" s="127" t="n"/>
      <c r="G66" s="127" t="n"/>
      <c r="H66" s="127" t="n"/>
      <c r="I66" s="124" t="n"/>
      <c r="J66" s="124" t="n"/>
      <c r="K66" s="124" t="n"/>
      <c r="L66" s="124" t="n"/>
      <c r="M66" s="124" t="n"/>
      <c r="N66" s="124" t="n"/>
      <c r="O66" s="127" t="n"/>
      <c r="P66" s="127" t="n"/>
      <c r="Q66" s="127" t="n"/>
      <c r="R66" s="127" t="n"/>
      <c r="S66" s="127" t="n"/>
      <c r="T66" s="127" t="n"/>
      <c r="U66" s="127" t="n"/>
      <c r="V66" s="129">
        <f>IF($T66&lt;&gt;"TAK",0,IF($O66="NIEPOLICZONE",0,IFERROR(ROUND(IF($I66="",$J66,$I66)*IF($L66="",$M66,$L66),2),0)))</f>
        <v/>
      </c>
      <c r="W66" s="140">
        <f>IF($T66&lt;&gt;"TAK",0,IF($O66="NIEPOLICZONE",0,IFERROR(ROUND($J66*$M66,2),0)))</f>
        <v/>
      </c>
      <c r="X66" s="129">
        <f>IF($T66&lt;&gt;"TAK",0,IF($O66="NIEPOLICZONE",0,IFERROR(ROUND(IF($K66="",$J66,$K66)*IF($N66="",$M66,$N66),2),0)))</f>
        <v/>
      </c>
    </row>
    <row r="67" ht="18" customHeight="1" s="95">
      <c r="A67" s="120" t="inlineStr">
        <is>
          <t>K061</t>
        </is>
      </c>
      <c r="B67" s="127" t="n"/>
      <c r="C67" s="127" t="n"/>
      <c r="D67" s="127" t="n"/>
      <c r="E67" s="127" t="n"/>
      <c r="F67" s="127" t="n"/>
      <c r="G67" s="127" t="n"/>
      <c r="H67" s="127" t="n"/>
      <c r="I67" s="124" t="n"/>
      <c r="J67" s="124" t="n"/>
      <c r="K67" s="124" t="n"/>
      <c r="L67" s="124" t="n"/>
      <c r="M67" s="124" t="n"/>
      <c r="N67" s="124" t="n"/>
      <c r="O67" s="127" t="n"/>
      <c r="P67" s="127" t="n"/>
      <c r="Q67" s="127" t="n"/>
      <c r="R67" s="127" t="n"/>
      <c r="S67" s="127" t="n"/>
      <c r="T67" s="127" t="n"/>
      <c r="U67" s="127" t="n"/>
      <c r="V67" s="129">
        <f>IF($T67&lt;&gt;"TAK",0,IF($O67="NIEPOLICZONE",0,IFERROR(ROUND(IF($I67="",$J67,$I67)*IF($L67="",$M67,$L67),2),0)))</f>
        <v/>
      </c>
      <c r="W67" s="140">
        <f>IF($T67&lt;&gt;"TAK",0,IF($O67="NIEPOLICZONE",0,IFERROR(ROUND($J67*$M67,2),0)))</f>
        <v/>
      </c>
      <c r="X67" s="129">
        <f>IF($T67&lt;&gt;"TAK",0,IF($O67="NIEPOLICZONE",0,IFERROR(ROUND(IF($K67="",$J67,$K67)*IF($N67="",$M67,$N67),2),0)))</f>
        <v/>
      </c>
    </row>
    <row r="68" ht="18" customHeight="1" s="95">
      <c r="A68" s="120" t="inlineStr">
        <is>
          <t>K062</t>
        </is>
      </c>
      <c r="B68" s="127" t="n"/>
      <c r="C68" s="127" t="n"/>
      <c r="D68" s="127" t="n"/>
      <c r="E68" s="127" t="n"/>
      <c r="F68" s="127" t="n"/>
      <c r="G68" s="127" t="n"/>
      <c r="H68" s="127" t="n"/>
      <c r="I68" s="124" t="n"/>
      <c r="J68" s="124" t="n"/>
      <c r="K68" s="124" t="n"/>
      <c r="L68" s="124" t="n"/>
      <c r="M68" s="124" t="n"/>
      <c r="N68" s="124" t="n"/>
      <c r="O68" s="127" t="n"/>
      <c r="P68" s="127" t="n"/>
      <c r="Q68" s="127" t="n"/>
      <c r="R68" s="127" t="n"/>
      <c r="S68" s="127" t="n"/>
      <c r="T68" s="127" t="n"/>
      <c r="U68" s="127" t="n"/>
      <c r="V68" s="129">
        <f>IF($T68&lt;&gt;"TAK",0,IF($O68="NIEPOLICZONE",0,IFERROR(ROUND(IF($I68="",$J68,$I68)*IF($L68="",$M68,$L68),2),0)))</f>
        <v/>
      </c>
      <c r="W68" s="140">
        <f>IF($T68&lt;&gt;"TAK",0,IF($O68="NIEPOLICZONE",0,IFERROR(ROUND($J68*$M68,2),0)))</f>
        <v/>
      </c>
      <c r="X68" s="129">
        <f>IF($T68&lt;&gt;"TAK",0,IF($O68="NIEPOLICZONE",0,IFERROR(ROUND(IF($K68="",$J68,$K68)*IF($N68="",$M68,$N68),2),0)))</f>
        <v/>
      </c>
    </row>
    <row r="69" ht="18" customHeight="1" s="95">
      <c r="A69" s="120" t="inlineStr">
        <is>
          <t>K063</t>
        </is>
      </c>
      <c r="B69" s="127" t="n"/>
      <c r="C69" s="127" t="n"/>
      <c r="D69" s="127" t="n"/>
      <c r="E69" s="127" t="n"/>
      <c r="F69" s="127" t="n"/>
      <c r="G69" s="127" t="n"/>
      <c r="H69" s="127" t="n"/>
      <c r="I69" s="124" t="n"/>
      <c r="J69" s="124" t="n"/>
      <c r="K69" s="124" t="n"/>
      <c r="L69" s="124" t="n"/>
      <c r="M69" s="124" t="n"/>
      <c r="N69" s="124" t="n"/>
      <c r="O69" s="127" t="n"/>
      <c r="P69" s="127" t="n"/>
      <c r="Q69" s="127" t="n"/>
      <c r="R69" s="127" t="n"/>
      <c r="S69" s="127" t="n"/>
      <c r="T69" s="127" t="n"/>
      <c r="U69" s="127" t="n"/>
      <c r="V69" s="129">
        <f>IF($T69&lt;&gt;"TAK",0,IF($O69="NIEPOLICZONE",0,IFERROR(ROUND(IF($I69="",$J69,$I69)*IF($L69="",$M69,$L69),2),0)))</f>
        <v/>
      </c>
      <c r="W69" s="140">
        <f>IF($T69&lt;&gt;"TAK",0,IF($O69="NIEPOLICZONE",0,IFERROR(ROUND($J69*$M69,2),0)))</f>
        <v/>
      </c>
      <c r="X69" s="129">
        <f>IF($T69&lt;&gt;"TAK",0,IF($O69="NIEPOLICZONE",0,IFERROR(ROUND(IF($K69="",$J69,$K69)*IF($N69="",$M69,$N69),2),0)))</f>
        <v/>
      </c>
    </row>
    <row r="70" ht="18" customHeight="1" s="95">
      <c r="A70" s="120" t="inlineStr">
        <is>
          <t>K064</t>
        </is>
      </c>
      <c r="B70" s="127" t="n"/>
      <c r="C70" s="127" t="n"/>
      <c r="D70" s="127" t="n"/>
      <c r="E70" s="127" t="n"/>
      <c r="F70" s="127" t="n"/>
      <c r="G70" s="127" t="n"/>
      <c r="H70" s="127" t="n"/>
      <c r="I70" s="124" t="n"/>
      <c r="J70" s="124" t="n"/>
      <c r="K70" s="124" t="n"/>
      <c r="L70" s="124" t="n"/>
      <c r="M70" s="124" t="n"/>
      <c r="N70" s="124" t="n"/>
      <c r="O70" s="127" t="n"/>
      <c r="P70" s="127" t="n"/>
      <c r="Q70" s="127" t="n"/>
      <c r="R70" s="127" t="n"/>
      <c r="S70" s="127" t="n"/>
      <c r="T70" s="127" t="n"/>
      <c r="U70" s="127" t="n"/>
      <c r="V70" s="129">
        <f>IF($T70&lt;&gt;"TAK",0,IF($O70="NIEPOLICZONE",0,IFERROR(ROUND(IF($I70="",$J70,$I70)*IF($L70="",$M70,$L70),2),0)))</f>
        <v/>
      </c>
      <c r="W70" s="140">
        <f>IF($T70&lt;&gt;"TAK",0,IF($O70="NIEPOLICZONE",0,IFERROR(ROUND($J70*$M70,2),0)))</f>
        <v/>
      </c>
      <c r="X70" s="129">
        <f>IF($T70&lt;&gt;"TAK",0,IF($O70="NIEPOLICZONE",0,IFERROR(ROUND(IF($K70="",$J70,$K70)*IF($N70="",$M70,$N70),2),0)))</f>
        <v/>
      </c>
    </row>
    <row r="71" ht="18" customHeight="1" s="95">
      <c r="A71" s="120" t="inlineStr">
        <is>
          <t>K065</t>
        </is>
      </c>
      <c r="B71" s="127" t="n"/>
      <c r="C71" s="127" t="n"/>
      <c r="D71" s="127" t="n"/>
      <c r="E71" s="127" t="n"/>
      <c r="F71" s="127" t="n"/>
      <c r="G71" s="127" t="n"/>
      <c r="H71" s="127" t="n"/>
      <c r="I71" s="124" t="n"/>
      <c r="J71" s="124" t="n"/>
      <c r="K71" s="124" t="n"/>
      <c r="L71" s="124" t="n"/>
      <c r="M71" s="124" t="n"/>
      <c r="N71" s="124" t="n"/>
      <c r="O71" s="127" t="n"/>
      <c r="P71" s="127" t="n"/>
      <c r="Q71" s="127" t="n"/>
      <c r="R71" s="127" t="n"/>
      <c r="S71" s="127" t="n"/>
      <c r="T71" s="127" t="n"/>
      <c r="U71" s="127" t="n"/>
      <c r="V71" s="129">
        <f>IF($T71&lt;&gt;"TAK",0,IF($O71="NIEPOLICZONE",0,IFERROR(ROUND(IF($I71="",$J71,$I71)*IF($L71="",$M71,$L71),2),0)))</f>
        <v/>
      </c>
      <c r="W71" s="140">
        <f>IF($T71&lt;&gt;"TAK",0,IF($O71="NIEPOLICZONE",0,IFERROR(ROUND($J71*$M71,2),0)))</f>
        <v/>
      </c>
      <c r="X71" s="129">
        <f>IF($T71&lt;&gt;"TAK",0,IF($O71="NIEPOLICZONE",0,IFERROR(ROUND(IF($K71="",$J71,$K71)*IF($N71="",$M71,$N71),2),0)))</f>
        <v/>
      </c>
    </row>
    <row r="72" ht="18" customHeight="1" s="95">
      <c r="A72" s="120" t="inlineStr">
        <is>
          <t>K066</t>
        </is>
      </c>
      <c r="B72" s="127" t="n"/>
      <c r="C72" s="127" t="n"/>
      <c r="D72" s="127" t="n"/>
      <c r="E72" s="127" t="n"/>
      <c r="F72" s="127" t="n"/>
      <c r="G72" s="127" t="n"/>
      <c r="H72" s="127" t="n"/>
      <c r="I72" s="124" t="n"/>
      <c r="J72" s="124" t="n"/>
      <c r="K72" s="124" t="n"/>
      <c r="L72" s="124" t="n"/>
      <c r="M72" s="124" t="n"/>
      <c r="N72" s="124" t="n"/>
      <c r="O72" s="127" t="n"/>
      <c r="P72" s="127" t="n"/>
      <c r="Q72" s="127" t="n"/>
      <c r="R72" s="127" t="n"/>
      <c r="S72" s="127" t="n"/>
      <c r="T72" s="127" t="n"/>
      <c r="U72" s="127" t="n"/>
      <c r="V72" s="129">
        <f>IF($T72&lt;&gt;"TAK",0,IF($O72="NIEPOLICZONE",0,IFERROR(ROUND(IF($I72="",$J72,$I72)*IF($L72="",$M72,$L72),2),0)))</f>
        <v/>
      </c>
      <c r="W72" s="140">
        <f>IF($T72&lt;&gt;"TAK",0,IF($O72="NIEPOLICZONE",0,IFERROR(ROUND($J72*$M72,2),0)))</f>
        <v/>
      </c>
      <c r="X72" s="129">
        <f>IF($T72&lt;&gt;"TAK",0,IF($O72="NIEPOLICZONE",0,IFERROR(ROUND(IF($K72="",$J72,$K72)*IF($N72="",$M72,$N72),2),0)))</f>
        <v/>
      </c>
    </row>
    <row r="73" ht="18" customHeight="1" s="95">
      <c r="A73" s="120" t="inlineStr">
        <is>
          <t>K067</t>
        </is>
      </c>
      <c r="B73" s="127" t="n"/>
      <c r="C73" s="127" t="n"/>
      <c r="D73" s="127" t="n"/>
      <c r="E73" s="127" t="n"/>
      <c r="F73" s="127" t="n"/>
      <c r="G73" s="127" t="n"/>
      <c r="H73" s="127" t="n"/>
      <c r="I73" s="124" t="n"/>
      <c r="J73" s="124" t="n"/>
      <c r="K73" s="124" t="n"/>
      <c r="L73" s="124" t="n"/>
      <c r="M73" s="124" t="n"/>
      <c r="N73" s="124" t="n"/>
      <c r="O73" s="127" t="n"/>
      <c r="P73" s="127" t="n"/>
      <c r="Q73" s="127" t="n"/>
      <c r="R73" s="127" t="n"/>
      <c r="S73" s="127" t="n"/>
      <c r="T73" s="127" t="n"/>
      <c r="U73" s="127" t="n"/>
      <c r="V73" s="129">
        <f>IF($T73&lt;&gt;"TAK",0,IF($O73="NIEPOLICZONE",0,IFERROR(ROUND(IF($I73="",$J73,$I73)*IF($L73="",$M73,$L73),2),0)))</f>
        <v/>
      </c>
      <c r="W73" s="140">
        <f>IF($T73&lt;&gt;"TAK",0,IF($O73="NIEPOLICZONE",0,IFERROR(ROUND($J73*$M73,2),0)))</f>
        <v/>
      </c>
      <c r="X73" s="129">
        <f>IF($T73&lt;&gt;"TAK",0,IF($O73="NIEPOLICZONE",0,IFERROR(ROUND(IF($K73="",$J73,$K73)*IF($N73="",$M73,$N73),2),0)))</f>
        <v/>
      </c>
    </row>
    <row r="74" ht="18" customHeight="1" s="95">
      <c r="A74" s="120" t="inlineStr">
        <is>
          <t>K068</t>
        </is>
      </c>
      <c r="B74" s="127" t="n"/>
      <c r="C74" s="127" t="n"/>
      <c r="D74" s="127" t="n"/>
      <c r="E74" s="127" t="n"/>
      <c r="F74" s="127" t="n"/>
      <c r="G74" s="127" t="n"/>
      <c r="H74" s="127" t="n"/>
      <c r="I74" s="124" t="n"/>
      <c r="J74" s="124" t="n"/>
      <c r="K74" s="124" t="n"/>
      <c r="L74" s="124" t="n"/>
      <c r="M74" s="124" t="n"/>
      <c r="N74" s="124" t="n"/>
      <c r="O74" s="127" t="n"/>
      <c r="P74" s="127" t="n"/>
      <c r="Q74" s="127" t="n"/>
      <c r="R74" s="127" t="n"/>
      <c r="S74" s="127" t="n"/>
      <c r="T74" s="127" t="n"/>
      <c r="U74" s="127" t="n"/>
      <c r="V74" s="129">
        <f>IF($T74&lt;&gt;"TAK",0,IF($O74="NIEPOLICZONE",0,IFERROR(ROUND(IF($I74="",$J74,$I74)*IF($L74="",$M74,$L74),2),0)))</f>
        <v/>
      </c>
      <c r="W74" s="140">
        <f>IF($T74&lt;&gt;"TAK",0,IF($O74="NIEPOLICZONE",0,IFERROR(ROUND($J74*$M74,2),0)))</f>
        <v/>
      </c>
      <c r="X74" s="129">
        <f>IF($T74&lt;&gt;"TAK",0,IF($O74="NIEPOLICZONE",0,IFERROR(ROUND(IF($K74="",$J74,$K74)*IF($N74="",$M74,$N74),2),0)))</f>
        <v/>
      </c>
    </row>
    <row r="75" ht="18" customHeight="1" s="95">
      <c r="A75" s="120" t="inlineStr">
        <is>
          <t>K069</t>
        </is>
      </c>
      <c r="B75" s="127" t="n"/>
      <c r="C75" s="127" t="n"/>
      <c r="D75" s="127" t="n"/>
      <c r="E75" s="127" t="n"/>
      <c r="F75" s="127" t="n"/>
      <c r="G75" s="127" t="n"/>
      <c r="H75" s="127" t="n"/>
      <c r="I75" s="124" t="n"/>
      <c r="J75" s="124" t="n"/>
      <c r="K75" s="124" t="n"/>
      <c r="L75" s="124" t="n"/>
      <c r="M75" s="124" t="n"/>
      <c r="N75" s="124" t="n"/>
      <c r="O75" s="127" t="n"/>
      <c r="P75" s="127" t="n"/>
      <c r="Q75" s="127" t="n"/>
      <c r="R75" s="127" t="n"/>
      <c r="S75" s="127" t="n"/>
      <c r="T75" s="127" t="n"/>
      <c r="U75" s="127" t="n"/>
      <c r="V75" s="129">
        <f>IF($T75&lt;&gt;"TAK",0,IF($O75="NIEPOLICZONE",0,IFERROR(ROUND(IF($I75="",$J75,$I75)*IF($L75="",$M75,$L75),2),0)))</f>
        <v/>
      </c>
      <c r="W75" s="140">
        <f>IF($T75&lt;&gt;"TAK",0,IF($O75="NIEPOLICZONE",0,IFERROR(ROUND($J75*$M75,2),0)))</f>
        <v/>
      </c>
      <c r="X75" s="129">
        <f>IF($T75&lt;&gt;"TAK",0,IF($O75="NIEPOLICZONE",0,IFERROR(ROUND(IF($K75="",$J75,$K75)*IF($N75="",$M75,$N75),2),0)))</f>
        <v/>
      </c>
    </row>
    <row r="76" ht="18" customHeight="1" s="95">
      <c r="A76" s="120" t="inlineStr">
        <is>
          <t>K070</t>
        </is>
      </c>
      <c r="B76" s="127" t="n"/>
      <c r="C76" s="127" t="n"/>
      <c r="D76" s="127" t="n"/>
      <c r="E76" s="127" t="n"/>
      <c r="F76" s="127" t="n"/>
      <c r="G76" s="127" t="n"/>
      <c r="H76" s="127" t="n"/>
      <c r="I76" s="124" t="n"/>
      <c r="J76" s="124" t="n"/>
      <c r="K76" s="124" t="n"/>
      <c r="L76" s="124" t="n"/>
      <c r="M76" s="124" t="n"/>
      <c r="N76" s="124" t="n"/>
      <c r="O76" s="127" t="n"/>
      <c r="P76" s="127" t="n"/>
      <c r="Q76" s="127" t="n"/>
      <c r="R76" s="127" t="n"/>
      <c r="S76" s="127" t="n"/>
      <c r="T76" s="127" t="n"/>
      <c r="U76" s="127" t="n"/>
      <c r="V76" s="129">
        <f>IF($T76&lt;&gt;"TAK",0,IF($O76="NIEPOLICZONE",0,IFERROR(ROUND(IF($I76="",$J76,$I76)*IF($L76="",$M76,$L76),2),0)))</f>
        <v/>
      </c>
      <c r="W76" s="140">
        <f>IF($T76&lt;&gt;"TAK",0,IF($O76="NIEPOLICZONE",0,IFERROR(ROUND($J76*$M76,2),0)))</f>
        <v/>
      </c>
      <c r="X76" s="129">
        <f>IF($T76&lt;&gt;"TAK",0,IF($O76="NIEPOLICZONE",0,IFERROR(ROUND(IF($K76="",$J76,$K76)*IF($N76="",$M76,$N76),2),0)))</f>
        <v/>
      </c>
    </row>
    <row r="77" ht="18" customHeight="1" s="95">
      <c r="A77" s="120" t="inlineStr">
        <is>
          <t>K071</t>
        </is>
      </c>
      <c r="B77" s="127" t="n"/>
      <c r="C77" s="127" t="n"/>
      <c r="D77" s="127" t="n"/>
      <c r="E77" s="127" t="n"/>
      <c r="F77" s="127" t="n"/>
      <c r="G77" s="127" t="n"/>
      <c r="H77" s="127" t="n"/>
      <c r="I77" s="124" t="n"/>
      <c r="J77" s="124" t="n"/>
      <c r="K77" s="124" t="n"/>
      <c r="L77" s="124" t="n"/>
      <c r="M77" s="124" t="n"/>
      <c r="N77" s="124" t="n"/>
      <c r="O77" s="127" t="n"/>
      <c r="P77" s="127" t="n"/>
      <c r="Q77" s="127" t="n"/>
      <c r="R77" s="127" t="n"/>
      <c r="S77" s="127" t="n"/>
      <c r="T77" s="127" t="n"/>
      <c r="U77" s="127" t="n"/>
      <c r="V77" s="129">
        <f>IF($T77&lt;&gt;"TAK",0,IF($O77="NIEPOLICZONE",0,IFERROR(ROUND(IF($I77="",$J77,$I77)*IF($L77="",$M77,$L77),2),0)))</f>
        <v/>
      </c>
      <c r="W77" s="140">
        <f>IF($T77&lt;&gt;"TAK",0,IF($O77="NIEPOLICZONE",0,IFERROR(ROUND($J77*$M77,2),0)))</f>
        <v/>
      </c>
      <c r="X77" s="129">
        <f>IF($T77&lt;&gt;"TAK",0,IF($O77="NIEPOLICZONE",0,IFERROR(ROUND(IF($K77="",$J77,$K77)*IF($N77="",$M77,$N77),2),0)))</f>
        <v/>
      </c>
    </row>
    <row r="78" ht="18" customHeight="1" s="95">
      <c r="A78" s="120" t="inlineStr">
        <is>
          <t>K072</t>
        </is>
      </c>
      <c r="B78" s="127" t="n"/>
      <c r="C78" s="127" t="n"/>
      <c r="D78" s="127" t="n"/>
      <c r="E78" s="127" t="n"/>
      <c r="F78" s="127" t="n"/>
      <c r="G78" s="127" t="n"/>
      <c r="H78" s="127" t="n"/>
      <c r="I78" s="124" t="n"/>
      <c r="J78" s="124" t="n"/>
      <c r="K78" s="124" t="n"/>
      <c r="L78" s="124" t="n"/>
      <c r="M78" s="124" t="n"/>
      <c r="N78" s="124" t="n"/>
      <c r="O78" s="127" t="n"/>
      <c r="P78" s="127" t="n"/>
      <c r="Q78" s="127" t="n"/>
      <c r="R78" s="127" t="n"/>
      <c r="S78" s="127" t="n"/>
      <c r="T78" s="127" t="n"/>
      <c r="U78" s="127" t="n"/>
      <c r="V78" s="129">
        <f>IF($T78&lt;&gt;"TAK",0,IF($O78="NIEPOLICZONE",0,IFERROR(ROUND(IF($I78="",$J78,$I78)*IF($L78="",$M78,$L78),2),0)))</f>
        <v/>
      </c>
      <c r="W78" s="140">
        <f>IF($T78&lt;&gt;"TAK",0,IF($O78="NIEPOLICZONE",0,IFERROR(ROUND($J78*$M78,2),0)))</f>
        <v/>
      </c>
      <c r="X78" s="129">
        <f>IF($T78&lt;&gt;"TAK",0,IF($O78="NIEPOLICZONE",0,IFERROR(ROUND(IF($K78="",$J78,$K78)*IF($N78="",$M78,$N78),2),0)))</f>
        <v/>
      </c>
    </row>
    <row r="79" ht="18" customHeight="1" s="95">
      <c r="A79" s="120" t="inlineStr">
        <is>
          <t>K073</t>
        </is>
      </c>
      <c r="B79" s="127" t="n"/>
      <c r="C79" s="127" t="n"/>
      <c r="D79" s="127" t="n"/>
      <c r="E79" s="127" t="n"/>
      <c r="F79" s="127" t="n"/>
      <c r="G79" s="127" t="n"/>
      <c r="H79" s="127" t="n"/>
      <c r="I79" s="124" t="n"/>
      <c r="J79" s="124" t="n"/>
      <c r="K79" s="124" t="n"/>
      <c r="L79" s="124" t="n"/>
      <c r="M79" s="124" t="n"/>
      <c r="N79" s="124" t="n"/>
      <c r="O79" s="127" t="n"/>
      <c r="P79" s="127" t="n"/>
      <c r="Q79" s="127" t="n"/>
      <c r="R79" s="127" t="n"/>
      <c r="S79" s="127" t="n"/>
      <c r="T79" s="127" t="n"/>
      <c r="U79" s="127" t="n"/>
      <c r="V79" s="129">
        <f>IF($T79&lt;&gt;"TAK",0,IF($O79="NIEPOLICZONE",0,IFERROR(ROUND(IF($I79="",$J79,$I79)*IF($L79="",$M79,$L79),2),0)))</f>
        <v/>
      </c>
      <c r="W79" s="140">
        <f>IF($T79&lt;&gt;"TAK",0,IF($O79="NIEPOLICZONE",0,IFERROR(ROUND($J79*$M79,2),0)))</f>
        <v/>
      </c>
      <c r="X79" s="129">
        <f>IF($T79&lt;&gt;"TAK",0,IF($O79="NIEPOLICZONE",0,IFERROR(ROUND(IF($K79="",$J79,$K79)*IF($N79="",$M79,$N79),2),0)))</f>
        <v/>
      </c>
    </row>
    <row r="80" ht="18" customHeight="1" s="95">
      <c r="A80" s="120" t="inlineStr">
        <is>
          <t>K074</t>
        </is>
      </c>
      <c r="B80" s="127" t="n"/>
      <c r="C80" s="127" t="n"/>
      <c r="D80" s="127" t="n"/>
      <c r="E80" s="127" t="n"/>
      <c r="F80" s="127" t="n"/>
      <c r="G80" s="127" t="n"/>
      <c r="H80" s="127" t="n"/>
      <c r="I80" s="124" t="n"/>
      <c r="J80" s="124" t="n"/>
      <c r="K80" s="124" t="n"/>
      <c r="L80" s="124" t="n"/>
      <c r="M80" s="124" t="n"/>
      <c r="N80" s="124" t="n"/>
      <c r="O80" s="127" t="n"/>
      <c r="P80" s="127" t="n"/>
      <c r="Q80" s="127" t="n"/>
      <c r="R80" s="127" t="n"/>
      <c r="S80" s="127" t="n"/>
      <c r="T80" s="127" t="n"/>
      <c r="U80" s="127" t="n"/>
      <c r="V80" s="129">
        <f>IF($T80&lt;&gt;"TAK",0,IF($O80="NIEPOLICZONE",0,IFERROR(ROUND(IF($I80="",$J80,$I80)*IF($L80="",$M80,$L80),2),0)))</f>
        <v/>
      </c>
      <c r="W80" s="140">
        <f>IF($T80&lt;&gt;"TAK",0,IF($O80="NIEPOLICZONE",0,IFERROR(ROUND($J80*$M80,2),0)))</f>
        <v/>
      </c>
      <c r="X80" s="129">
        <f>IF($T80&lt;&gt;"TAK",0,IF($O80="NIEPOLICZONE",0,IFERROR(ROUND(IF($K80="",$J80,$K80)*IF($N80="",$M80,$N80),2),0)))</f>
        <v/>
      </c>
    </row>
    <row r="81" ht="18" customHeight="1" s="95">
      <c r="A81" s="120" t="inlineStr">
        <is>
          <t>K075</t>
        </is>
      </c>
      <c r="B81" s="127" t="n"/>
      <c r="C81" s="127" t="n"/>
      <c r="D81" s="127" t="n"/>
      <c r="E81" s="127" t="n"/>
      <c r="F81" s="127" t="n"/>
      <c r="G81" s="127" t="n"/>
      <c r="H81" s="127" t="n"/>
      <c r="I81" s="124" t="n"/>
      <c r="J81" s="124" t="n"/>
      <c r="K81" s="124" t="n"/>
      <c r="L81" s="124" t="n"/>
      <c r="M81" s="124" t="n"/>
      <c r="N81" s="124" t="n"/>
      <c r="O81" s="127" t="n"/>
      <c r="P81" s="127" t="n"/>
      <c r="Q81" s="127" t="n"/>
      <c r="R81" s="127" t="n"/>
      <c r="S81" s="127" t="n"/>
      <c r="T81" s="127" t="n"/>
      <c r="U81" s="127" t="n"/>
      <c r="V81" s="129">
        <f>IF($T81&lt;&gt;"TAK",0,IF($O81="NIEPOLICZONE",0,IFERROR(ROUND(IF($I81="",$J81,$I81)*IF($L81="",$M81,$L81),2),0)))</f>
        <v/>
      </c>
      <c r="W81" s="140">
        <f>IF($T81&lt;&gt;"TAK",0,IF($O81="NIEPOLICZONE",0,IFERROR(ROUND($J81*$M81,2),0)))</f>
        <v/>
      </c>
      <c r="X81" s="129">
        <f>IF($T81&lt;&gt;"TAK",0,IF($O81="NIEPOLICZONE",0,IFERROR(ROUND(IF($K81="",$J81,$K81)*IF($N81="",$M81,$N81),2),0)))</f>
        <v/>
      </c>
    </row>
    <row r="82" ht="18" customHeight="1" s="95">
      <c r="A82" s="120" t="inlineStr">
        <is>
          <t>K076</t>
        </is>
      </c>
      <c r="B82" s="127" t="n"/>
      <c r="C82" s="127" t="n"/>
      <c r="D82" s="127" t="n"/>
      <c r="E82" s="127" t="n"/>
      <c r="F82" s="127" t="n"/>
      <c r="G82" s="127" t="n"/>
      <c r="H82" s="127" t="n"/>
      <c r="I82" s="124" t="n"/>
      <c r="J82" s="124" t="n"/>
      <c r="K82" s="124" t="n"/>
      <c r="L82" s="124" t="n"/>
      <c r="M82" s="124" t="n"/>
      <c r="N82" s="124" t="n"/>
      <c r="O82" s="127" t="n"/>
      <c r="P82" s="127" t="n"/>
      <c r="Q82" s="127" t="n"/>
      <c r="R82" s="127" t="n"/>
      <c r="S82" s="127" t="n"/>
      <c r="T82" s="127" t="n"/>
      <c r="U82" s="127" t="n"/>
      <c r="V82" s="129">
        <f>IF($T82&lt;&gt;"TAK",0,IF($O82="NIEPOLICZONE",0,IFERROR(ROUND(IF($I82="",$J82,$I82)*IF($L82="",$M82,$L82),2),0)))</f>
        <v/>
      </c>
      <c r="W82" s="140">
        <f>IF($T82&lt;&gt;"TAK",0,IF($O82="NIEPOLICZONE",0,IFERROR(ROUND($J82*$M82,2),0)))</f>
        <v/>
      </c>
      <c r="X82" s="129">
        <f>IF($T82&lt;&gt;"TAK",0,IF($O82="NIEPOLICZONE",0,IFERROR(ROUND(IF($K82="",$J82,$K82)*IF($N82="",$M82,$N82),2),0)))</f>
        <v/>
      </c>
    </row>
    <row r="83" ht="18" customHeight="1" s="95">
      <c r="A83" s="120" t="inlineStr">
        <is>
          <t>K077</t>
        </is>
      </c>
      <c r="B83" s="127" t="n"/>
      <c r="C83" s="127" t="n"/>
      <c r="D83" s="127" t="n"/>
      <c r="E83" s="127" t="n"/>
      <c r="F83" s="127" t="n"/>
      <c r="G83" s="127" t="n"/>
      <c r="H83" s="127" t="n"/>
      <c r="I83" s="124" t="n"/>
      <c r="J83" s="124" t="n"/>
      <c r="K83" s="124" t="n"/>
      <c r="L83" s="124" t="n"/>
      <c r="M83" s="124" t="n"/>
      <c r="N83" s="124" t="n"/>
      <c r="O83" s="127" t="n"/>
      <c r="P83" s="127" t="n"/>
      <c r="Q83" s="127" t="n"/>
      <c r="R83" s="127" t="n"/>
      <c r="S83" s="127" t="n"/>
      <c r="T83" s="127" t="n"/>
      <c r="U83" s="127" t="n"/>
      <c r="V83" s="129">
        <f>IF($T83&lt;&gt;"TAK",0,IF($O83="NIEPOLICZONE",0,IFERROR(ROUND(IF($I83="",$J83,$I83)*IF($L83="",$M83,$L83),2),0)))</f>
        <v/>
      </c>
      <c r="W83" s="140">
        <f>IF($T83&lt;&gt;"TAK",0,IF($O83="NIEPOLICZONE",0,IFERROR(ROUND($J83*$M83,2),0)))</f>
        <v/>
      </c>
      <c r="X83" s="129">
        <f>IF($T83&lt;&gt;"TAK",0,IF($O83="NIEPOLICZONE",0,IFERROR(ROUND(IF($K83="",$J83,$K83)*IF($N83="",$M83,$N83),2),0)))</f>
        <v/>
      </c>
    </row>
    <row r="84" ht="18" customHeight="1" s="95">
      <c r="A84" s="120" t="inlineStr">
        <is>
          <t>K078</t>
        </is>
      </c>
      <c r="B84" s="127" t="n"/>
      <c r="C84" s="127" t="n"/>
      <c r="D84" s="127" t="n"/>
      <c r="E84" s="127" t="n"/>
      <c r="F84" s="127" t="n"/>
      <c r="G84" s="127" t="n"/>
      <c r="H84" s="127" t="n"/>
      <c r="I84" s="124" t="n"/>
      <c r="J84" s="124" t="n"/>
      <c r="K84" s="124" t="n"/>
      <c r="L84" s="124" t="n"/>
      <c r="M84" s="124" t="n"/>
      <c r="N84" s="124" t="n"/>
      <c r="O84" s="127" t="n"/>
      <c r="P84" s="127" t="n"/>
      <c r="Q84" s="127" t="n"/>
      <c r="R84" s="127" t="n"/>
      <c r="S84" s="127" t="n"/>
      <c r="T84" s="127" t="n"/>
      <c r="U84" s="127" t="n"/>
      <c r="V84" s="129">
        <f>IF($T84&lt;&gt;"TAK",0,IF($O84="NIEPOLICZONE",0,IFERROR(ROUND(IF($I84="",$J84,$I84)*IF($L84="",$M84,$L84),2),0)))</f>
        <v/>
      </c>
      <c r="W84" s="140">
        <f>IF($T84&lt;&gt;"TAK",0,IF($O84="NIEPOLICZONE",0,IFERROR(ROUND($J84*$M84,2),0)))</f>
        <v/>
      </c>
      <c r="X84" s="129">
        <f>IF($T84&lt;&gt;"TAK",0,IF($O84="NIEPOLICZONE",0,IFERROR(ROUND(IF($K84="",$J84,$K84)*IF($N84="",$M84,$N84),2),0)))</f>
        <v/>
      </c>
    </row>
    <row r="85" ht="18" customHeight="1" s="95">
      <c r="A85" s="120" t="inlineStr">
        <is>
          <t>K079</t>
        </is>
      </c>
      <c r="B85" s="127" t="n"/>
      <c r="C85" s="127" t="n"/>
      <c r="D85" s="127" t="n"/>
      <c r="E85" s="127" t="n"/>
      <c r="F85" s="127" t="n"/>
      <c r="G85" s="127" t="n"/>
      <c r="H85" s="127" t="n"/>
      <c r="I85" s="124" t="n"/>
      <c r="J85" s="124" t="n"/>
      <c r="K85" s="124" t="n"/>
      <c r="L85" s="124" t="n"/>
      <c r="M85" s="124" t="n"/>
      <c r="N85" s="124" t="n"/>
      <c r="O85" s="127" t="n"/>
      <c r="P85" s="127" t="n"/>
      <c r="Q85" s="127" t="n"/>
      <c r="R85" s="127" t="n"/>
      <c r="S85" s="127" t="n"/>
      <c r="T85" s="127" t="n"/>
      <c r="U85" s="127" t="n"/>
      <c r="V85" s="129">
        <f>IF($T85&lt;&gt;"TAK",0,IF($O85="NIEPOLICZONE",0,IFERROR(ROUND(IF($I85="",$J85,$I85)*IF($L85="",$M85,$L85),2),0)))</f>
        <v/>
      </c>
      <c r="W85" s="140">
        <f>IF($T85&lt;&gt;"TAK",0,IF($O85="NIEPOLICZONE",0,IFERROR(ROUND($J85*$M85,2),0)))</f>
        <v/>
      </c>
      <c r="X85" s="129">
        <f>IF($T85&lt;&gt;"TAK",0,IF($O85="NIEPOLICZONE",0,IFERROR(ROUND(IF($K85="",$J85,$K85)*IF($N85="",$M85,$N85),2),0)))</f>
        <v/>
      </c>
    </row>
    <row r="86" ht="18" customHeight="1" s="95">
      <c r="A86" s="120" t="inlineStr">
        <is>
          <t>K080</t>
        </is>
      </c>
      <c r="B86" s="127" t="n"/>
      <c r="C86" s="127" t="n"/>
      <c r="D86" s="127" t="n"/>
      <c r="E86" s="127" t="n"/>
      <c r="F86" s="127" t="n"/>
      <c r="G86" s="127" t="n"/>
      <c r="H86" s="127" t="n"/>
      <c r="I86" s="124" t="n"/>
      <c r="J86" s="124" t="n"/>
      <c r="K86" s="124" t="n"/>
      <c r="L86" s="124" t="n"/>
      <c r="M86" s="124" t="n"/>
      <c r="N86" s="124" t="n"/>
      <c r="O86" s="127" t="n"/>
      <c r="P86" s="127" t="n"/>
      <c r="Q86" s="127" t="n"/>
      <c r="R86" s="127" t="n"/>
      <c r="S86" s="127" t="n"/>
      <c r="T86" s="127" t="n"/>
      <c r="U86" s="127" t="n"/>
      <c r="V86" s="129">
        <f>IF($T86&lt;&gt;"TAK",0,IF($O86="NIEPOLICZONE",0,IFERROR(ROUND(IF($I86="",$J86,$I86)*IF($L86="",$M86,$L86),2),0)))</f>
        <v/>
      </c>
      <c r="W86" s="140">
        <f>IF($T86&lt;&gt;"TAK",0,IF($O86="NIEPOLICZONE",0,IFERROR(ROUND($J86*$M86,2),0)))</f>
        <v/>
      </c>
      <c r="X86" s="129">
        <f>IF($T86&lt;&gt;"TAK",0,IF($O86="NIEPOLICZONE",0,IFERROR(ROUND(IF($K86="",$J86,$K86)*IF($N86="",$M86,$N86),2),0)))</f>
        <v/>
      </c>
    </row>
    <row r="87" ht="18" customHeight="1" s="95">
      <c r="A87" s="120" t="inlineStr">
        <is>
          <t>K081</t>
        </is>
      </c>
      <c r="B87" s="127" t="n"/>
      <c r="C87" s="127" t="n"/>
      <c r="D87" s="127" t="n"/>
      <c r="E87" s="127" t="n"/>
      <c r="F87" s="127" t="n"/>
      <c r="G87" s="127" t="n"/>
      <c r="H87" s="127" t="n"/>
      <c r="I87" s="124" t="n"/>
      <c r="J87" s="124" t="n"/>
      <c r="K87" s="124" t="n"/>
      <c r="L87" s="124" t="n"/>
      <c r="M87" s="124" t="n"/>
      <c r="N87" s="124" t="n"/>
      <c r="O87" s="127" t="n"/>
      <c r="P87" s="127" t="n"/>
      <c r="Q87" s="127" t="n"/>
      <c r="R87" s="127" t="n"/>
      <c r="S87" s="127" t="n"/>
      <c r="T87" s="127" t="n"/>
      <c r="U87" s="127" t="n"/>
      <c r="V87" s="129">
        <f>IF($T87&lt;&gt;"TAK",0,IF($O87="NIEPOLICZONE",0,IFERROR(ROUND(IF($I87="",$J87,$I87)*IF($L87="",$M87,$L87),2),0)))</f>
        <v/>
      </c>
      <c r="W87" s="140">
        <f>IF($T87&lt;&gt;"TAK",0,IF($O87="NIEPOLICZONE",0,IFERROR(ROUND($J87*$M87,2),0)))</f>
        <v/>
      </c>
      <c r="X87" s="129">
        <f>IF($T87&lt;&gt;"TAK",0,IF($O87="NIEPOLICZONE",0,IFERROR(ROUND(IF($K87="",$J87,$K87)*IF($N87="",$M87,$N87),2),0)))</f>
        <v/>
      </c>
    </row>
    <row r="88" ht="18" customHeight="1" s="95">
      <c r="A88" s="120" t="inlineStr">
        <is>
          <t>K082</t>
        </is>
      </c>
      <c r="B88" s="127" t="n"/>
      <c r="C88" s="127" t="n"/>
      <c r="D88" s="127" t="n"/>
      <c r="E88" s="127" t="n"/>
      <c r="F88" s="127" t="n"/>
      <c r="G88" s="127" t="n"/>
      <c r="H88" s="127" t="n"/>
      <c r="I88" s="124" t="n"/>
      <c r="J88" s="124" t="n"/>
      <c r="K88" s="124" t="n"/>
      <c r="L88" s="124" t="n"/>
      <c r="M88" s="124" t="n"/>
      <c r="N88" s="124" t="n"/>
      <c r="O88" s="127" t="n"/>
      <c r="P88" s="127" t="n"/>
      <c r="Q88" s="127" t="n"/>
      <c r="R88" s="127" t="n"/>
      <c r="S88" s="127" t="n"/>
      <c r="T88" s="127" t="n"/>
      <c r="U88" s="127" t="n"/>
      <c r="V88" s="129">
        <f>IF($T88&lt;&gt;"TAK",0,IF($O88="NIEPOLICZONE",0,IFERROR(ROUND(IF($I88="",$J88,$I88)*IF($L88="",$M88,$L88),2),0)))</f>
        <v/>
      </c>
      <c r="W88" s="140">
        <f>IF($T88&lt;&gt;"TAK",0,IF($O88="NIEPOLICZONE",0,IFERROR(ROUND($J88*$M88,2),0)))</f>
        <v/>
      </c>
      <c r="X88" s="129">
        <f>IF($T88&lt;&gt;"TAK",0,IF($O88="NIEPOLICZONE",0,IFERROR(ROUND(IF($K88="",$J88,$K88)*IF($N88="",$M88,$N88),2),0)))</f>
        <v/>
      </c>
    </row>
    <row r="89" ht="18" customHeight="1" s="95">
      <c r="A89" s="120" t="inlineStr">
        <is>
          <t>K083</t>
        </is>
      </c>
      <c r="B89" s="127" t="n"/>
      <c r="C89" s="127" t="n"/>
      <c r="D89" s="127" t="n"/>
      <c r="E89" s="127" t="n"/>
      <c r="F89" s="127" t="n"/>
      <c r="G89" s="127" t="n"/>
      <c r="H89" s="127" t="n"/>
      <c r="I89" s="124" t="n"/>
      <c r="J89" s="124" t="n"/>
      <c r="K89" s="124" t="n"/>
      <c r="L89" s="124" t="n"/>
      <c r="M89" s="124" t="n"/>
      <c r="N89" s="124" t="n"/>
      <c r="O89" s="127" t="n"/>
      <c r="P89" s="127" t="n"/>
      <c r="Q89" s="127" t="n"/>
      <c r="R89" s="127" t="n"/>
      <c r="S89" s="127" t="n"/>
      <c r="T89" s="127" t="n"/>
      <c r="U89" s="127" t="n"/>
      <c r="V89" s="129">
        <f>IF($T89&lt;&gt;"TAK",0,IF($O89="NIEPOLICZONE",0,IFERROR(ROUND(IF($I89="",$J89,$I89)*IF($L89="",$M89,$L89),2),0)))</f>
        <v/>
      </c>
      <c r="W89" s="140">
        <f>IF($T89&lt;&gt;"TAK",0,IF($O89="NIEPOLICZONE",0,IFERROR(ROUND($J89*$M89,2),0)))</f>
        <v/>
      </c>
      <c r="X89" s="129">
        <f>IF($T89&lt;&gt;"TAK",0,IF($O89="NIEPOLICZONE",0,IFERROR(ROUND(IF($K89="",$J89,$K89)*IF($N89="",$M89,$N89),2),0)))</f>
        <v/>
      </c>
    </row>
    <row r="90" ht="18" customHeight="1" s="95">
      <c r="A90" s="120" t="inlineStr">
        <is>
          <t>K084</t>
        </is>
      </c>
      <c r="B90" s="127" t="n"/>
      <c r="C90" s="127" t="n"/>
      <c r="D90" s="127" t="n"/>
      <c r="E90" s="127" t="n"/>
      <c r="F90" s="127" t="n"/>
      <c r="G90" s="127" t="n"/>
      <c r="H90" s="127" t="n"/>
      <c r="I90" s="124" t="n"/>
      <c r="J90" s="124" t="n"/>
      <c r="K90" s="124" t="n"/>
      <c r="L90" s="124" t="n"/>
      <c r="M90" s="124" t="n"/>
      <c r="N90" s="124" t="n"/>
      <c r="O90" s="127" t="n"/>
      <c r="P90" s="127" t="n"/>
      <c r="Q90" s="127" t="n"/>
      <c r="R90" s="127" t="n"/>
      <c r="S90" s="127" t="n"/>
      <c r="T90" s="127" t="n"/>
      <c r="U90" s="127" t="n"/>
      <c r="V90" s="129">
        <f>IF($T90&lt;&gt;"TAK",0,IF($O90="NIEPOLICZONE",0,IFERROR(ROUND(IF($I90="",$J90,$I90)*IF($L90="",$M90,$L90),2),0)))</f>
        <v/>
      </c>
      <c r="W90" s="140">
        <f>IF($T90&lt;&gt;"TAK",0,IF($O90="NIEPOLICZONE",0,IFERROR(ROUND($J90*$M90,2),0)))</f>
        <v/>
      </c>
      <c r="X90" s="129">
        <f>IF($T90&lt;&gt;"TAK",0,IF($O90="NIEPOLICZONE",0,IFERROR(ROUND(IF($K90="",$J90,$K90)*IF($N90="",$M90,$N90),2),0)))</f>
        <v/>
      </c>
    </row>
    <row r="91" ht="18" customHeight="1" s="95">
      <c r="A91" s="120" t="inlineStr">
        <is>
          <t>K085</t>
        </is>
      </c>
      <c r="B91" s="127" t="n"/>
      <c r="C91" s="127" t="n"/>
      <c r="D91" s="127" t="n"/>
      <c r="E91" s="127" t="n"/>
      <c r="F91" s="127" t="n"/>
      <c r="G91" s="127" t="n"/>
      <c r="H91" s="127" t="n"/>
      <c r="I91" s="124" t="n"/>
      <c r="J91" s="124" t="n"/>
      <c r="K91" s="124" t="n"/>
      <c r="L91" s="124" t="n"/>
      <c r="M91" s="124" t="n"/>
      <c r="N91" s="124" t="n"/>
      <c r="O91" s="127" t="n"/>
      <c r="P91" s="127" t="n"/>
      <c r="Q91" s="127" t="n"/>
      <c r="R91" s="127" t="n"/>
      <c r="S91" s="127" t="n"/>
      <c r="T91" s="127" t="n"/>
      <c r="U91" s="127" t="n"/>
      <c r="V91" s="129">
        <f>IF($T91&lt;&gt;"TAK",0,IF($O91="NIEPOLICZONE",0,IFERROR(ROUND(IF($I91="",$J91,$I91)*IF($L91="",$M91,$L91),2),0)))</f>
        <v/>
      </c>
      <c r="W91" s="140">
        <f>IF($T91&lt;&gt;"TAK",0,IF($O91="NIEPOLICZONE",0,IFERROR(ROUND($J91*$M91,2),0)))</f>
        <v/>
      </c>
      <c r="X91" s="129">
        <f>IF($T91&lt;&gt;"TAK",0,IF($O91="NIEPOLICZONE",0,IFERROR(ROUND(IF($K91="",$J91,$K91)*IF($N91="",$M91,$N91),2),0)))</f>
        <v/>
      </c>
    </row>
    <row r="92" ht="18" customHeight="1" s="95">
      <c r="A92" s="120" t="inlineStr">
        <is>
          <t>K086</t>
        </is>
      </c>
      <c r="B92" s="127" t="n"/>
      <c r="C92" s="127" t="n"/>
      <c r="D92" s="127" t="n"/>
      <c r="E92" s="127" t="n"/>
      <c r="F92" s="127" t="n"/>
      <c r="G92" s="127" t="n"/>
      <c r="H92" s="127" t="n"/>
      <c r="I92" s="124" t="n"/>
      <c r="J92" s="124" t="n"/>
      <c r="K92" s="124" t="n"/>
      <c r="L92" s="124" t="n"/>
      <c r="M92" s="124" t="n"/>
      <c r="N92" s="124" t="n"/>
      <c r="O92" s="127" t="n"/>
      <c r="P92" s="127" t="n"/>
      <c r="Q92" s="127" t="n"/>
      <c r="R92" s="127" t="n"/>
      <c r="S92" s="127" t="n"/>
      <c r="T92" s="127" t="n"/>
      <c r="U92" s="127" t="n"/>
      <c r="V92" s="129">
        <f>IF($T92&lt;&gt;"TAK",0,IF($O92="NIEPOLICZONE",0,IFERROR(ROUND(IF($I92="",$J92,$I92)*IF($L92="",$M92,$L92),2),0)))</f>
        <v/>
      </c>
      <c r="W92" s="140">
        <f>IF($T92&lt;&gt;"TAK",0,IF($O92="NIEPOLICZONE",0,IFERROR(ROUND($J92*$M92,2),0)))</f>
        <v/>
      </c>
      <c r="X92" s="129">
        <f>IF($T92&lt;&gt;"TAK",0,IF($O92="NIEPOLICZONE",0,IFERROR(ROUND(IF($K92="",$J92,$K92)*IF($N92="",$M92,$N92),2),0)))</f>
        <v/>
      </c>
    </row>
    <row r="93" ht="18" customHeight="1" s="95">
      <c r="A93" s="120" t="inlineStr">
        <is>
          <t>K087</t>
        </is>
      </c>
      <c r="B93" s="127" t="n"/>
      <c r="C93" s="127" t="n"/>
      <c r="D93" s="127" t="n"/>
      <c r="E93" s="127" t="n"/>
      <c r="F93" s="127" t="n"/>
      <c r="G93" s="127" t="n"/>
      <c r="H93" s="127" t="n"/>
      <c r="I93" s="124" t="n"/>
      <c r="J93" s="124" t="n"/>
      <c r="K93" s="124" t="n"/>
      <c r="L93" s="124" t="n"/>
      <c r="M93" s="124" t="n"/>
      <c r="N93" s="124" t="n"/>
      <c r="O93" s="127" t="n"/>
      <c r="P93" s="127" t="n"/>
      <c r="Q93" s="127" t="n"/>
      <c r="R93" s="127" t="n"/>
      <c r="S93" s="127" t="n"/>
      <c r="T93" s="127" t="n"/>
      <c r="U93" s="127" t="n"/>
      <c r="V93" s="129">
        <f>IF($T93&lt;&gt;"TAK",0,IF($O93="NIEPOLICZONE",0,IFERROR(ROUND(IF($I93="",$J93,$I93)*IF($L93="",$M93,$L93),2),0)))</f>
        <v/>
      </c>
      <c r="W93" s="140">
        <f>IF($T93&lt;&gt;"TAK",0,IF($O93="NIEPOLICZONE",0,IFERROR(ROUND($J93*$M93,2),0)))</f>
        <v/>
      </c>
      <c r="X93" s="129">
        <f>IF($T93&lt;&gt;"TAK",0,IF($O93="NIEPOLICZONE",0,IFERROR(ROUND(IF($K93="",$J93,$K93)*IF($N93="",$M93,$N93),2),0)))</f>
        <v/>
      </c>
    </row>
    <row r="94" ht="18" customHeight="1" s="95">
      <c r="A94" s="120" t="inlineStr">
        <is>
          <t>K088</t>
        </is>
      </c>
      <c r="B94" s="127" t="n"/>
      <c r="C94" s="127" t="n"/>
      <c r="D94" s="127" t="n"/>
      <c r="E94" s="127" t="n"/>
      <c r="F94" s="127" t="n"/>
      <c r="G94" s="127" t="n"/>
      <c r="H94" s="127" t="n"/>
      <c r="I94" s="124" t="n"/>
      <c r="J94" s="124" t="n"/>
      <c r="K94" s="124" t="n"/>
      <c r="L94" s="124" t="n"/>
      <c r="M94" s="124" t="n"/>
      <c r="N94" s="124" t="n"/>
      <c r="O94" s="127" t="n"/>
      <c r="P94" s="127" t="n"/>
      <c r="Q94" s="127" t="n"/>
      <c r="R94" s="127" t="n"/>
      <c r="S94" s="127" t="n"/>
      <c r="T94" s="127" t="n"/>
      <c r="U94" s="127" t="n"/>
      <c r="V94" s="129">
        <f>IF($T94&lt;&gt;"TAK",0,IF($O94="NIEPOLICZONE",0,IFERROR(ROUND(IF($I94="",$J94,$I94)*IF($L94="",$M94,$L94),2),0)))</f>
        <v/>
      </c>
      <c r="W94" s="140">
        <f>IF($T94&lt;&gt;"TAK",0,IF($O94="NIEPOLICZONE",0,IFERROR(ROUND($J94*$M94,2),0)))</f>
        <v/>
      </c>
      <c r="X94" s="129">
        <f>IF($T94&lt;&gt;"TAK",0,IF($O94="NIEPOLICZONE",0,IFERROR(ROUND(IF($K94="",$J94,$K94)*IF($N94="",$M94,$N94),2),0)))</f>
        <v/>
      </c>
    </row>
    <row r="95" ht="18" customHeight="1" s="95">
      <c r="A95" s="120" t="inlineStr">
        <is>
          <t>K089</t>
        </is>
      </c>
      <c r="B95" s="127" t="n"/>
      <c r="C95" s="127" t="n"/>
      <c r="D95" s="127" t="n"/>
      <c r="E95" s="127" t="n"/>
      <c r="F95" s="127" t="n"/>
      <c r="G95" s="127" t="n"/>
      <c r="H95" s="127" t="n"/>
      <c r="I95" s="124" t="n"/>
      <c r="J95" s="124" t="n"/>
      <c r="K95" s="124" t="n"/>
      <c r="L95" s="124" t="n"/>
      <c r="M95" s="124" t="n"/>
      <c r="N95" s="124" t="n"/>
      <c r="O95" s="127" t="n"/>
      <c r="P95" s="127" t="n"/>
      <c r="Q95" s="127" t="n"/>
      <c r="R95" s="127" t="n"/>
      <c r="S95" s="127" t="n"/>
      <c r="T95" s="127" t="n"/>
      <c r="U95" s="127" t="n"/>
      <c r="V95" s="129">
        <f>IF($T95&lt;&gt;"TAK",0,IF($O95="NIEPOLICZONE",0,IFERROR(ROUND(IF($I95="",$J95,$I95)*IF($L95="",$M95,$L95),2),0)))</f>
        <v/>
      </c>
      <c r="W95" s="140">
        <f>IF($T95&lt;&gt;"TAK",0,IF($O95="NIEPOLICZONE",0,IFERROR(ROUND($J95*$M95,2),0)))</f>
        <v/>
      </c>
      <c r="X95" s="129">
        <f>IF($T95&lt;&gt;"TAK",0,IF($O95="NIEPOLICZONE",0,IFERROR(ROUND(IF($K95="",$J95,$K95)*IF($N95="",$M95,$N95),2),0)))</f>
        <v/>
      </c>
    </row>
    <row r="96" ht="18" customHeight="1" s="95">
      <c r="A96" s="120" t="inlineStr">
        <is>
          <t>K090</t>
        </is>
      </c>
      <c r="B96" s="127" t="n"/>
      <c r="C96" s="127" t="n"/>
      <c r="D96" s="127" t="n"/>
      <c r="E96" s="127" t="n"/>
      <c r="F96" s="127" t="n"/>
      <c r="G96" s="127" t="n"/>
      <c r="H96" s="127" t="n"/>
      <c r="I96" s="124" t="n"/>
      <c r="J96" s="124" t="n"/>
      <c r="K96" s="124" t="n"/>
      <c r="L96" s="124" t="n"/>
      <c r="M96" s="124" t="n"/>
      <c r="N96" s="124" t="n"/>
      <c r="O96" s="127" t="n"/>
      <c r="P96" s="127" t="n"/>
      <c r="Q96" s="127" t="n"/>
      <c r="R96" s="127" t="n"/>
      <c r="S96" s="127" t="n"/>
      <c r="T96" s="127" t="n"/>
      <c r="U96" s="127" t="n"/>
      <c r="V96" s="129">
        <f>IF($T96&lt;&gt;"TAK",0,IF($O96="NIEPOLICZONE",0,IFERROR(ROUND(IF($I96="",$J96,$I96)*IF($L96="",$M96,$L96),2),0)))</f>
        <v/>
      </c>
      <c r="W96" s="140">
        <f>IF($T96&lt;&gt;"TAK",0,IF($O96="NIEPOLICZONE",0,IFERROR(ROUND($J96*$M96,2),0)))</f>
        <v/>
      </c>
      <c r="X96" s="129">
        <f>IF($T96&lt;&gt;"TAK",0,IF($O96="NIEPOLICZONE",0,IFERROR(ROUND(IF($K96="",$J96,$K96)*IF($N96="",$M96,$N96),2),0)))</f>
        <v/>
      </c>
    </row>
    <row r="97" ht="18" customHeight="1" s="95">
      <c r="A97" s="120" t="inlineStr">
        <is>
          <t>K091</t>
        </is>
      </c>
      <c r="B97" s="127" t="n"/>
      <c r="C97" s="127" t="n"/>
      <c r="D97" s="127" t="n"/>
      <c r="E97" s="127" t="n"/>
      <c r="F97" s="127" t="n"/>
      <c r="G97" s="127" t="n"/>
      <c r="H97" s="127" t="n"/>
      <c r="I97" s="124" t="n"/>
      <c r="J97" s="124" t="n"/>
      <c r="K97" s="124" t="n"/>
      <c r="L97" s="124" t="n"/>
      <c r="M97" s="124" t="n"/>
      <c r="N97" s="124" t="n"/>
      <c r="O97" s="127" t="n"/>
      <c r="P97" s="127" t="n"/>
      <c r="Q97" s="127" t="n"/>
      <c r="R97" s="127" t="n"/>
      <c r="S97" s="127" t="n"/>
      <c r="T97" s="127" t="n"/>
      <c r="U97" s="127" t="n"/>
      <c r="V97" s="129">
        <f>IF($T97&lt;&gt;"TAK",0,IF($O97="NIEPOLICZONE",0,IFERROR(ROUND(IF($I97="",$J97,$I97)*IF($L97="",$M97,$L97),2),0)))</f>
        <v/>
      </c>
      <c r="W97" s="140">
        <f>IF($T97&lt;&gt;"TAK",0,IF($O97="NIEPOLICZONE",0,IFERROR(ROUND($J97*$M97,2),0)))</f>
        <v/>
      </c>
      <c r="X97" s="129">
        <f>IF($T97&lt;&gt;"TAK",0,IF($O97="NIEPOLICZONE",0,IFERROR(ROUND(IF($K97="",$J97,$K97)*IF($N97="",$M97,$N97),2),0)))</f>
        <v/>
      </c>
    </row>
    <row r="98" ht="18" customHeight="1" s="95">
      <c r="A98" s="120" t="inlineStr">
        <is>
          <t>K092</t>
        </is>
      </c>
      <c r="B98" s="127" t="n"/>
      <c r="C98" s="127" t="n"/>
      <c r="D98" s="127" t="n"/>
      <c r="E98" s="127" t="n"/>
      <c r="F98" s="127" t="n"/>
      <c r="G98" s="127" t="n"/>
      <c r="H98" s="127" t="n"/>
      <c r="I98" s="124" t="n"/>
      <c r="J98" s="124" t="n"/>
      <c r="K98" s="124" t="n"/>
      <c r="L98" s="124" t="n"/>
      <c r="M98" s="124" t="n"/>
      <c r="N98" s="124" t="n"/>
      <c r="O98" s="127" t="n"/>
      <c r="P98" s="127" t="n"/>
      <c r="Q98" s="127" t="n"/>
      <c r="R98" s="127" t="n"/>
      <c r="S98" s="127" t="n"/>
      <c r="T98" s="127" t="n"/>
      <c r="U98" s="127" t="n"/>
      <c r="V98" s="129">
        <f>IF($T98&lt;&gt;"TAK",0,IF($O98="NIEPOLICZONE",0,IFERROR(ROUND(IF($I98="",$J98,$I98)*IF($L98="",$M98,$L98),2),0)))</f>
        <v/>
      </c>
      <c r="W98" s="140">
        <f>IF($T98&lt;&gt;"TAK",0,IF($O98="NIEPOLICZONE",0,IFERROR(ROUND($J98*$M98,2),0)))</f>
        <v/>
      </c>
      <c r="X98" s="129">
        <f>IF($T98&lt;&gt;"TAK",0,IF($O98="NIEPOLICZONE",0,IFERROR(ROUND(IF($K98="",$J98,$K98)*IF($N98="",$M98,$N98),2),0)))</f>
        <v/>
      </c>
    </row>
    <row r="99" ht="18" customHeight="1" s="95">
      <c r="A99" s="120" t="inlineStr">
        <is>
          <t>K093</t>
        </is>
      </c>
      <c r="B99" s="127" t="n"/>
      <c r="C99" s="127" t="n"/>
      <c r="D99" s="127" t="n"/>
      <c r="E99" s="127" t="n"/>
      <c r="F99" s="127" t="n"/>
      <c r="G99" s="127" t="n"/>
      <c r="H99" s="127" t="n"/>
      <c r="I99" s="124" t="n"/>
      <c r="J99" s="124" t="n"/>
      <c r="K99" s="124" t="n"/>
      <c r="L99" s="124" t="n"/>
      <c r="M99" s="124" t="n"/>
      <c r="N99" s="124" t="n"/>
      <c r="O99" s="127" t="n"/>
      <c r="P99" s="127" t="n"/>
      <c r="Q99" s="127" t="n"/>
      <c r="R99" s="127" t="n"/>
      <c r="S99" s="127" t="n"/>
      <c r="T99" s="127" t="n"/>
      <c r="U99" s="127" t="n"/>
      <c r="V99" s="129">
        <f>IF($T99&lt;&gt;"TAK",0,IF($O99="NIEPOLICZONE",0,IFERROR(ROUND(IF($I99="",$J99,$I99)*IF($L99="",$M99,$L99),2),0)))</f>
        <v/>
      </c>
      <c r="W99" s="140">
        <f>IF($T99&lt;&gt;"TAK",0,IF($O99="NIEPOLICZONE",0,IFERROR(ROUND($J99*$M99,2),0)))</f>
        <v/>
      </c>
      <c r="X99" s="129">
        <f>IF($T99&lt;&gt;"TAK",0,IF($O99="NIEPOLICZONE",0,IFERROR(ROUND(IF($K99="",$J99,$K99)*IF($N99="",$M99,$N99),2),0)))</f>
        <v/>
      </c>
    </row>
    <row r="100" ht="18" customHeight="1" s="95">
      <c r="A100" s="120" t="inlineStr">
        <is>
          <t>K094</t>
        </is>
      </c>
      <c r="B100" s="127" t="n"/>
      <c r="C100" s="127" t="n"/>
      <c r="D100" s="127" t="n"/>
      <c r="E100" s="127" t="n"/>
      <c r="F100" s="127" t="n"/>
      <c r="G100" s="127" t="n"/>
      <c r="H100" s="127" t="n"/>
      <c r="I100" s="124" t="n"/>
      <c r="J100" s="124" t="n"/>
      <c r="K100" s="124" t="n"/>
      <c r="L100" s="124" t="n"/>
      <c r="M100" s="124" t="n"/>
      <c r="N100" s="124" t="n"/>
      <c r="O100" s="127" t="n"/>
      <c r="P100" s="127" t="n"/>
      <c r="Q100" s="127" t="n"/>
      <c r="R100" s="127" t="n"/>
      <c r="S100" s="127" t="n"/>
      <c r="T100" s="127" t="n"/>
      <c r="U100" s="127" t="n"/>
      <c r="V100" s="129">
        <f>IF($T100&lt;&gt;"TAK",0,IF($O100="NIEPOLICZONE",0,IFERROR(ROUND(IF($I100="",$J100,$I100)*IF($L100="",$M100,$L100),2),0)))</f>
        <v/>
      </c>
      <c r="W100" s="140">
        <f>IF($T100&lt;&gt;"TAK",0,IF($O100="NIEPOLICZONE",0,IFERROR(ROUND($J100*$M100,2),0)))</f>
        <v/>
      </c>
      <c r="X100" s="129">
        <f>IF($T100&lt;&gt;"TAK",0,IF($O100="NIEPOLICZONE",0,IFERROR(ROUND(IF($K100="",$J100,$K100)*IF($N100="",$M100,$N100),2),0)))</f>
        <v/>
      </c>
    </row>
    <row r="101" ht="18" customHeight="1" s="95">
      <c r="A101" s="120" t="inlineStr">
        <is>
          <t>K095</t>
        </is>
      </c>
      <c r="B101" s="127" t="n"/>
      <c r="C101" s="127" t="n"/>
      <c r="D101" s="127" t="n"/>
      <c r="E101" s="127" t="n"/>
      <c r="F101" s="127" t="n"/>
      <c r="G101" s="127" t="n"/>
      <c r="H101" s="127" t="n"/>
      <c r="I101" s="124" t="n"/>
      <c r="J101" s="124" t="n"/>
      <c r="K101" s="124" t="n"/>
      <c r="L101" s="124" t="n"/>
      <c r="M101" s="124" t="n"/>
      <c r="N101" s="124" t="n"/>
      <c r="O101" s="127" t="n"/>
      <c r="P101" s="127" t="n"/>
      <c r="Q101" s="127" t="n"/>
      <c r="R101" s="127" t="n"/>
      <c r="S101" s="127" t="n"/>
      <c r="T101" s="127" t="n"/>
      <c r="U101" s="127" t="n"/>
      <c r="V101" s="129">
        <f>IF($T101&lt;&gt;"TAK",0,IF($O101="NIEPOLICZONE",0,IFERROR(ROUND(IF($I101="",$J101,$I101)*IF($L101="",$M101,$L101),2),0)))</f>
        <v/>
      </c>
      <c r="W101" s="140">
        <f>IF($T101&lt;&gt;"TAK",0,IF($O101="NIEPOLICZONE",0,IFERROR(ROUND($J101*$M101,2),0)))</f>
        <v/>
      </c>
      <c r="X101" s="129">
        <f>IF($T101&lt;&gt;"TAK",0,IF($O101="NIEPOLICZONE",0,IFERROR(ROUND(IF($K101="",$J101,$K101)*IF($N101="",$M101,$N101),2),0)))</f>
        <v/>
      </c>
    </row>
    <row r="102" ht="18" customHeight="1" s="95">
      <c r="A102" s="120" t="inlineStr">
        <is>
          <t>K096</t>
        </is>
      </c>
      <c r="B102" s="127" t="n"/>
      <c r="C102" s="127" t="n"/>
      <c r="D102" s="127" t="n"/>
      <c r="E102" s="127" t="n"/>
      <c r="F102" s="127" t="n"/>
      <c r="G102" s="127" t="n"/>
      <c r="H102" s="127" t="n"/>
      <c r="I102" s="124" t="n"/>
      <c r="J102" s="124" t="n"/>
      <c r="K102" s="124" t="n"/>
      <c r="L102" s="124" t="n"/>
      <c r="M102" s="124" t="n"/>
      <c r="N102" s="124" t="n"/>
      <c r="O102" s="127" t="n"/>
      <c r="P102" s="127" t="n"/>
      <c r="Q102" s="127" t="n"/>
      <c r="R102" s="127" t="n"/>
      <c r="S102" s="127" t="n"/>
      <c r="T102" s="127" t="n"/>
      <c r="U102" s="127" t="n"/>
      <c r="V102" s="129">
        <f>IF($T102&lt;&gt;"TAK",0,IF($O102="NIEPOLICZONE",0,IFERROR(ROUND(IF($I102="",$J102,$I102)*IF($L102="",$M102,$L102),2),0)))</f>
        <v/>
      </c>
      <c r="W102" s="140">
        <f>IF($T102&lt;&gt;"TAK",0,IF($O102="NIEPOLICZONE",0,IFERROR(ROUND($J102*$M102,2),0)))</f>
        <v/>
      </c>
      <c r="X102" s="129">
        <f>IF($T102&lt;&gt;"TAK",0,IF($O102="NIEPOLICZONE",0,IFERROR(ROUND(IF($K102="",$J102,$K102)*IF($N102="",$M102,$N102),2),0)))</f>
        <v/>
      </c>
    </row>
    <row r="103" ht="18" customHeight="1" s="95">
      <c r="A103" s="120" t="inlineStr">
        <is>
          <t>K097</t>
        </is>
      </c>
      <c r="B103" s="127" t="n"/>
      <c r="C103" s="127" t="n"/>
      <c r="D103" s="127" t="n"/>
      <c r="E103" s="127" t="n"/>
      <c r="F103" s="127" t="n"/>
      <c r="G103" s="127" t="n"/>
      <c r="H103" s="127" t="n"/>
      <c r="I103" s="124" t="n"/>
      <c r="J103" s="124" t="n"/>
      <c r="K103" s="124" t="n"/>
      <c r="L103" s="124" t="n"/>
      <c r="M103" s="124" t="n"/>
      <c r="N103" s="124" t="n"/>
      <c r="O103" s="127" t="n"/>
      <c r="P103" s="127" t="n"/>
      <c r="Q103" s="127" t="n"/>
      <c r="R103" s="127" t="n"/>
      <c r="S103" s="127" t="n"/>
      <c r="T103" s="127" t="n"/>
      <c r="U103" s="127" t="n"/>
      <c r="V103" s="129">
        <f>IF($T103&lt;&gt;"TAK",0,IF($O103="NIEPOLICZONE",0,IFERROR(ROUND(IF($I103="",$J103,$I103)*IF($L103="",$M103,$L103),2),0)))</f>
        <v/>
      </c>
      <c r="W103" s="140">
        <f>IF($T103&lt;&gt;"TAK",0,IF($O103="NIEPOLICZONE",0,IFERROR(ROUND($J103*$M103,2),0)))</f>
        <v/>
      </c>
      <c r="X103" s="129">
        <f>IF($T103&lt;&gt;"TAK",0,IF($O103="NIEPOLICZONE",0,IFERROR(ROUND(IF($K103="",$J103,$K103)*IF($N103="",$M103,$N103),2),0)))</f>
        <v/>
      </c>
    </row>
    <row r="104" ht="18" customHeight="1" s="95">
      <c r="A104" s="120" t="inlineStr">
        <is>
          <t>K098</t>
        </is>
      </c>
      <c r="B104" s="127" t="n"/>
      <c r="C104" s="127" t="n"/>
      <c r="D104" s="127" t="n"/>
      <c r="E104" s="127" t="n"/>
      <c r="F104" s="127" t="n"/>
      <c r="G104" s="127" t="n"/>
      <c r="H104" s="127" t="n"/>
      <c r="I104" s="124" t="n"/>
      <c r="J104" s="124" t="n"/>
      <c r="K104" s="124" t="n"/>
      <c r="L104" s="124" t="n"/>
      <c r="M104" s="124" t="n"/>
      <c r="N104" s="124" t="n"/>
      <c r="O104" s="127" t="n"/>
      <c r="P104" s="127" t="n"/>
      <c r="Q104" s="127" t="n"/>
      <c r="R104" s="127" t="n"/>
      <c r="S104" s="127" t="n"/>
      <c r="T104" s="127" t="n"/>
      <c r="U104" s="127" t="n"/>
      <c r="V104" s="129">
        <f>IF($T104&lt;&gt;"TAK",0,IF($O104="NIEPOLICZONE",0,IFERROR(ROUND(IF($I104="",$J104,$I104)*IF($L104="",$M104,$L104),2),0)))</f>
        <v/>
      </c>
      <c r="W104" s="140">
        <f>IF($T104&lt;&gt;"TAK",0,IF($O104="NIEPOLICZONE",0,IFERROR(ROUND($J104*$M104,2),0)))</f>
        <v/>
      </c>
      <c r="X104" s="129">
        <f>IF($T104&lt;&gt;"TAK",0,IF($O104="NIEPOLICZONE",0,IFERROR(ROUND(IF($K104="",$J104,$K104)*IF($N104="",$M104,$N104),2),0)))</f>
        <v/>
      </c>
    </row>
    <row r="105" ht="18" customHeight="1" s="95">
      <c r="A105" s="120" t="inlineStr">
        <is>
          <t>K099</t>
        </is>
      </c>
      <c r="B105" s="127" t="n"/>
      <c r="C105" s="127" t="n"/>
      <c r="D105" s="127" t="n"/>
      <c r="E105" s="127" t="n"/>
      <c r="F105" s="127" t="n"/>
      <c r="G105" s="127" t="n"/>
      <c r="H105" s="127" t="n"/>
      <c r="I105" s="124" t="n"/>
      <c r="J105" s="124" t="n"/>
      <c r="K105" s="124" t="n"/>
      <c r="L105" s="124" t="n"/>
      <c r="M105" s="124" t="n"/>
      <c r="N105" s="124" t="n"/>
      <c r="O105" s="127" t="n"/>
      <c r="P105" s="127" t="n"/>
      <c r="Q105" s="127" t="n"/>
      <c r="R105" s="127" t="n"/>
      <c r="S105" s="127" t="n"/>
      <c r="T105" s="127" t="n"/>
      <c r="U105" s="127" t="n"/>
      <c r="V105" s="129">
        <f>IF($T105&lt;&gt;"TAK",0,IF($O105="NIEPOLICZONE",0,IFERROR(ROUND(IF($I105="",$J105,$I105)*IF($L105="",$M105,$L105),2),0)))</f>
        <v/>
      </c>
      <c r="W105" s="140">
        <f>IF($T105&lt;&gt;"TAK",0,IF($O105="NIEPOLICZONE",0,IFERROR(ROUND($J105*$M105,2),0)))</f>
        <v/>
      </c>
      <c r="X105" s="129">
        <f>IF($T105&lt;&gt;"TAK",0,IF($O105="NIEPOLICZONE",0,IFERROR(ROUND(IF($K105="",$J105,$K105)*IF($N105="",$M105,$N105),2),0)))</f>
        <v/>
      </c>
    </row>
    <row r="106" ht="18" customHeight="1" s="95">
      <c r="A106" s="120" t="inlineStr">
        <is>
          <t>K100</t>
        </is>
      </c>
      <c r="B106" s="127" t="n"/>
      <c r="C106" s="127" t="n"/>
      <c r="D106" s="127" t="n"/>
      <c r="E106" s="127" t="n"/>
      <c r="F106" s="127" t="n"/>
      <c r="G106" s="127" t="n"/>
      <c r="H106" s="127" t="n"/>
      <c r="I106" s="124" t="n"/>
      <c r="J106" s="124" t="n"/>
      <c r="K106" s="124" t="n"/>
      <c r="L106" s="124" t="n"/>
      <c r="M106" s="124" t="n"/>
      <c r="N106" s="124" t="n"/>
      <c r="O106" s="127" t="n"/>
      <c r="P106" s="127" t="n"/>
      <c r="Q106" s="127" t="n"/>
      <c r="R106" s="127" t="n"/>
      <c r="S106" s="127" t="n"/>
      <c r="T106" s="127" t="n"/>
      <c r="U106" s="127" t="n"/>
      <c r="V106" s="129">
        <f>IF($T106&lt;&gt;"TAK",0,IF($O106="NIEPOLICZONE",0,IFERROR(ROUND(IF($I106="",$J106,$I106)*IF($L106="",$M106,$L106),2),0)))</f>
        <v/>
      </c>
      <c r="W106" s="140">
        <f>IF($T106&lt;&gt;"TAK",0,IF($O106="NIEPOLICZONE",0,IFERROR(ROUND($J106*$M106,2),0)))</f>
        <v/>
      </c>
      <c r="X106" s="129">
        <f>IF($T106&lt;&gt;"TAK",0,IF($O106="NIEPOLICZONE",0,IFERROR(ROUND(IF($K106="",$J106,$K106)*IF($N106="",$M106,$N106),2),0)))</f>
        <v/>
      </c>
    </row>
    <row r="107" ht="18" customHeight="1" s="95">
      <c r="A107" s="120" t="inlineStr">
        <is>
          <t>K101</t>
        </is>
      </c>
      <c r="B107" s="127" t="n"/>
      <c r="C107" s="127" t="n"/>
      <c r="D107" s="127" t="n"/>
      <c r="E107" s="127" t="n"/>
      <c r="F107" s="127" t="n"/>
      <c r="G107" s="127" t="n"/>
      <c r="H107" s="127" t="n"/>
      <c r="I107" s="124" t="n"/>
      <c r="J107" s="124" t="n"/>
      <c r="K107" s="124" t="n"/>
      <c r="L107" s="124" t="n"/>
      <c r="M107" s="124" t="n"/>
      <c r="N107" s="124" t="n"/>
      <c r="O107" s="127" t="n"/>
      <c r="P107" s="127" t="n"/>
      <c r="Q107" s="127" t="n"/>
      <c r="R107" s="127" t="n"/>
      <c r="S107" s="127" t="n"/>
      <c r="T107" s="127" t="n"/>
      <c r="U107" s="127" t="n"/>
      <c r="V107" s="129">
        <f>IF($T107&lt;&gt;"TAK",0,IF($O107="NIEPOLICZONE",0,IFERROR(ROUND(IF($I107="",$J107,$I107)*IF($L107="",$M107,$L107),2),0)))</f>
        <v/>
      </c>
      <c r="W107" s="140">
        <f>IF($T107&lt;&gt;"TAK",0,IF($O107="NIEPOLICZONE",0,IFERROR(ROUND($J107*$M107,2),0)))</f>
        <v/>
      </c>
      <c r="X107" s="129">
        <f>IF($T107&lt;&gt;"TAK",0,IF($O107="NIEPOLICZONE",0,IFERROR(ROUND(IF($K107="",$J107,$K107)*IF($N107="",$M107,$N107),2),0)))</f>
        <v/>
      </c>
    </row>
    <row r="108" ht="18" customHeight="1" s="95">
      <c r="A108" s="120" t="inlineStr">
        <is>
          <t>K102</t>
        </is>
      </c>
      <c r="B108" s="127" t="n"/>
      <c r="C108" s="127" t="n"/>
      <c r="D108" s="127" t="n"/>
      <c r="E108" s="127" t="n"/>
      <c r="F108" s="127" t="n"/>
      <c r="G108" s="127" t="n"/>
      <c r="H108" s="127" t="n"/>
      <c r="I108" s="124" t="n"/>
      <c r="J108" s="124" t="n"/>
      <c r="K108" s="124" t="n"/>
      <c r="L108" s="124" t="n"/>
      <c r="M108" s="124" t="n"/>
      <c r="N108" s="124" t="n"/>
      <c r="O108" s="127" t="n"/>
      <c r="P108" s="127" t="n"/>
      <c r="Q108" s="127" t="n"/>
      <c r="R108" s="127" t="n"/>
      <c r="S108" s="127" t="n"/>
      <c r="T108" s="127" t="n"/>
      <c r="U108" s="127" t="n"/>
      <c r="V108" s="129">
        <f>IF($T108&lt;&gt;"TAK",0,IF($O108="NIEPOLICZONE",0,IFERROR(ROUND(IF($I108="",$J108,$I108)*IF($L108="",$M108,$L108),2),0)))</f>
        <v/>
      </c>
      <c r="W108" s="140">
        <f>IF($T108&lt;&gt;"TAK",0,IF($O108="NIEPOLICZONE",0,IFERROR(ROUND($J108*$M108,2),0)))</f>
        <v/>
      </c>
      <c r="X108" s="129">
        <f>IF($T108&lt;&gt;"TAK",0,IF($O108="NIEPOLICZONE",0,IFERROR(ROUND(IF($K108="",$J108,$K108)*IF($N108="",$M108,$N108),2),0)))</f>
        <v/>
      </c>
    </row>
    <row r="109" ht="18" customHeight="1" s="95">
      <c r="A109" s="120" t="inlineStr">
        <is>
          <t>K103</t>
        </is>
      </c>
      <c r="B109" s="127" t="n"/>
      <c r="C109" s="127" t="n"/>
      <c r="D109" s="127" t="n"/>
      <c r="E109" s="127" t="n"/>
      <c r="F109" s="127" t="n"/>
      <c r="G109" s="127" t="n"/>
      <c r="H109" s="127" t="n"/>
      <c r="I109" s="124" t="n"/>
      <c r="J109" s="124" t="n"/>
      <c r="K109" s="124" t="n"/>
      <c r="L109" s="124" t="n"/>
      <c r="M109" s="124" t="n"/>
      <c r="N109" s="124" t="n"/>
      <c r="O109" s="127" t="n"/>
      <c r="P109" s="127" t="n"/>
      <c r="Q109" s="127" t="n"/>
      <c r="R109" s="127" t="n"/>
      <c r="S109" s="127" t="n"/>
      <c r="T109" s="127" t="n"/>
      <c r="U109" s="127" t="n"/>
      <c r="V109" s="129">
        <f>IF($T109&lt;&gt;"TAK",0,IF($O109="NIEPOLICZONE",0,IFERROR(ROUND(IF($I109="",$J109,$I109)*IF($L109="",$M109,$L109),2),0)))</f>
        <v/>
      </c>
      <c r="W109" s="140">
        <f>IF($T109&lt;&gt;"TAK",0,IF($O109="NIEPOLICZONE",0,IFERROR(ROUND($J109*$M109,2),0)))</f>
        <v/>
      </c>
      <c r="X109" s="129">
        <f>IF($T109&lt;&gt;"TAK",0,IF($O109="NIEPOLICZONE",0,IFERROR(ROUND(IF($K109="",$J109,$K109)*IF($N109="",$M109,$N109),2),0)))</f>
        <v/>
      </c>
    </row>
    <row r="110" ht="18" customHeight="1" s="95">
      <c r="A110" s="120" t="inlineStr">
        <is>
          <t>K104</t>
        </is>
      </c>
      <c r="B110" s="127" t="n"/>
      <c r="C110" s="127" t="n"/>
      <c r="D110" s="127" t="n"/>
      <c r="E110" s="127" t="n"/>
      <c r="F110" s="127" t="n"/>
      <c r="G110" s="127" t="n"/>
      <c r="H110" s="127" t="n"/>
      <c r="I110" s="124" t="n"/>
      <c r="J110" s="124" t="n"/>
      <c r="K110" s="124" t="n"/>
      <c r="L110" s="124" t="n"/>
      <c r="M110" s="124" t="n"/>
      <c r="N110" s="124" t="n"/>
      <c r="O110" s="127" t="n"/>
      <c r="P110" s="127" t="n"/>
      <c r="Q110" s="127" t="n"/>
      <c r="R110" s="127" t="n"/>
      <c r="S110" s="127" t="n"/>
      <c r="T110" s="127" t="n"/>
      <c r="U110" s="127" t="n"/>
      <c r="V110" s="129">
        <f>IF($T110&lt;&gt;"TAK",0,IF($O110="NIEPOLICZONE",0,IFERROR(ROUND(IF($I110="",$J110,$I110)*IF($L110="",$M110,$L110),2),0)))</f>
        <v/>
      </c>
      <c r="W110" s="140">
        <f>IF($T110&lt;&gt;"TAK",0,IF($O110="NIEPOLICZONE",0,IFERROR(ROUND($J110*$M110,2),0)))</f>
        <v/>
      </c>
      <c r="X110" s="129">
        <f>IF($T110&lt;&gt;"TAK",0,IF($O110="NIEPOLICZONE",0,IFERROR(ROUND(IF($K110="",$J110,$K110)*IF($N110="",$M110,$N110),2),0)))</f>
        <v/>
      </c>
    </row>
    <row r="111" ht="18" customHeight="1" s="95">
      <c r="A111" s="120" t="inlineStr">
        <is>
          <t>K105</t>
        </is>
      </c>
      <c r="B111" s="127" t="n"/>
      <c r="C111" s="127" t="n"/>
      <c r="D111" s="127" t="n"/>
      <c r="E111" s="127" t="n"/>
      <c r="F111" s="127" t="n"/>
      <c r="G111" s="127" t="n"/>
      <c r="H111" s="127" t="n"/>
      <c r="I111" s="124" t="n"/>
      <c r="J111" s="124" t="n"/>
      <c r="K111" s="124" t="n"/>
      <c r="L111" s="124" t="n"/>
      <c r="M111" s="124" t="n"/>
      <c r="N111" s="124" t="n"/>
      <c r="O111" s="127" t="n"/>
      <c r="P111" s="127" t="n"/>
      <c r="Q111" s="127" t="n"/>
      <c r="R111" s="127" t="n"/>
      <c r="S111" s="127" t="n"/>
      <c r="T111" s="127" t="n"/>
      <c r="U111" s="127" t="n"/>
      <c r="V111" s="129">
        <f>IF($T111&lt;&gt;"TAK",0,IF($O111="NIEPOLICZONE",0,IFERROR(ROUND(IF($I111="",$J111,$I111)*IF($L111="",$M111,$L111),2),0)))</f>
        <v/>
      </c>
      <c r="W111" s="140">
        <f>IF($T111&lt;&gt;"TAK",0,IF($O111="NIEPOLICZONE",0,IFERROR(ROUND($J111*$M111,2),0)))</f>
        <v/>
      </c>
      <c r="X111" s="129">
        <f>IF($T111&lt;&gt;"TAK",0,IF($O111="NIEPOLICZONE",0,IFERROR(ROUND(IF($K111="",$J111,$K111)*IF($N111="",$M111,$N111),2),0)))</f>
        <v/>
      </c>
    </row>
    <row r="112" ht="18" customHeight="1" s="95">
      <c r="A112" s="120" t="inlineStr">
        <is>
          <t>K106</t>
        </is>
      </c>
      <c r="B112" s="127" t="n"/>
      <c r="C112" s="127" t="n"/>
      <c r="D112" s="127" t="n"/>
      <c r="E112" s="127" t="n"/>
      <c r="F112" s="127" t="n"/>
      <c r="G112" s="127" t="n"/>
      <c r="H112" s="127" t="n"/>
      <c r="I112" s="124" t="n"/>
      <c r="J112" s="124" t="n"/>
      <c r="K112" s="124" t="n"/>
      <c r="L112" s="124" t="n"/>
      <c r="M112" s="124" t="n"/>
      <c r="N112" s="124" t="n"/>
      <c r="O112" s="127" t="n"/>
      <c r="P112" s="127" t="n"/>
      <c r="Q112" s="127" t="n"/>
      <c r="R112" s="127" t="n"/>
      <c r="S112" s="127" t="n"/>
      <c r="T112" s="127" t="n"/>
      <c r="U112" s="127" t="n"/>
      <c r="V112" s="129">
        <f>IF($T112&lt;&gt;"TAK",0,IF($O112="NIEPOLICZONE",0,IFERROR(ROUND(IF($I112="",$J112,$I112)*IF($L112="",$M112,$L112),2),0)))</f>
        <v/>
      </c>
      <c r="W112" s="140">
        <f>IF($T112&lt;&gt;"TAK",0,IF($O112="NIEPOLICZONE",0,IFERROR(ROUND($J112*$M112,2),0)))</f>
        <v/>
      </c>
      <c r="X112" s="129">
        <f>IF($T112&lt;&gt;"TAK",0,IF($O112="NIEPOLICZONE",0,IFERROR(ROUND(IF($K112="",$J112,$K112)*IF($N112="",$M112,$N112),2),0)))</f>
        <v/>
      </c>
    </row>
    <row r="113" ht="18" customHeight="1" s="95">
      <c r="A113" s="120" t="inlineStr">
        <is>
          <t>K107</t>
        </is>
      </c>
      <c r="B113" s="127" t="n"/>
      <c r="C113" s="127" t="n"/>
      <c r="D113" s="127" t="n"/>
      <c r="E113" s="127" t="n"/>
      <c r="F113" s="127" t="n"/>
      <c r="G113" s="127" t="n"/>
      <c r="H113" s="127" t="n"/>
      <c r="I113" s="124" t="n"/>
      <c r="J113" s="124" t="n"/>
      <c r="K113" s="124" t="n"/>
      <c r="L113" s="124" t="n"/>
      <c r="M113" s="124" t="n"/>
      <c r="N113" s="124" t="n"/>
      <c r="O113" s="127" t="n"/>
      <c r="P113" s="127" t="n"/>
      <c r="Q113" s="127" t="n"/>
      <c r="R113" s="127" t="n"/>
      <c r="S113" s="127" t="n"/>
      <c r="T113" s="127" t="n"/>
      <c r="U113" s="127" t="n"/>
      <c r="V113" s="129">
        <f>IF($T113&lt;&gt;"TAK",0,IF($O113="NIEPOLICZONE",0,IFERROR(ROUND(IF($I113="",$J113,$I113)*IF($L113="",$M113,$L113),2),0)))</f>
        <v/>
      </c>
      <c r="W113" s="140">
        <f>IF($T113&lt;&gt;"TAK",0,IF($O113="NIEPOLICZONE",0,IFERROR(ROUND($J113*$M113,2),0)))</f>
        <v/>
      </c>
      <c r="X113" s="129">
        <f>IF($T113&lt;&gt;"TAK",0,IF($O113="NIEPOLICZONE",0,IFERROR(ROUND(IF($K113="",$J113,$K113)*IF($N113="",$M113,$N113),2),0)))</f>
        <v/>
      </c>
    </row>
    <row r="114" ht="18" customHeight="1" s="95">
      <c r="A114" s="120" t="inlineStr">
        <is>
          <t>K108</t>
        </is>
      </c>
      <c r="B114" s="127" t="n"/>
      <c r="C114" s="127" t="n"/>
      <c r="D114" s="127" t="n"/>
      <c r="E114" s="127" t="n"/>
      <c r="F114" s="127" t="n"/>
      <c r="G114" s="127" t="n"/>
      <c r="H114" s="127" t="n"/>
      <c r="I114" s="124" t="n"/>
      <c r="J114" s="124" t="n"/>
      <c r="K114" s="124" t="n"/>
      <c r="L114" s="124" t="n"/>
      <c r="M114" s="124" t="n"/>
      <c r="N114" s="124" t="n"/>
      <c r="O114" s="127" t="n"/>
      <c r="P114" s="127" t="n"/>
      <c r="Q114" s="127" t="n"/>
      <c r="R114" s="127" t="n"/>
      <c r="S114" s="127" t="n"/>
      <c r="T114" s="127" t="n"/>
      <c r="U114" s="127" t="n"/>
      <c r="V114" s="129">
        <f>IF($T114&lt;&gt;"TAK",0,IF($O114="NIEPOLICZONE",0,IFERROR(ROUND(IF($I114="",$J114,$I114)*IF($L114="",$M114,$L114),2),0)))</f>
        <v/>
      </c>
      <c r="W114" s="140">
        <f>IF($T114&lt;&gt;"TAK",0,IF($O114="NIEPOLICZONE",0,IFERROR(ROUND($J114*$M114,2),0)))</f>
        <v/>
      </c>
      <c r="X114" s="129">
        <f>IF($T114&lt;&gt;"TAK",0,IF($O114="NIEPOLICZONE",0,IFERROR(ROUND(IF($K114="",$J114,$K114)*IF($N114="",$M114,$N114),2),0)))</f>
        <v/>
      </c>
    </row>
    <row r="115" ht="18" customHeight="1" s="95">
      <c r="A115" s="120" t="inlineStr">
        <is>
          <t>K109</t>
        </is>
      </c>
      <c r="B115" s="127" t="n"/>
      <c r="C115" s="127" t="n"/>
      <c r="D115" s="127" t="n"/>
      <c r="E115" s="127" t="n"/>
      <c r="F115" s="127" t="n"/>
      <c r="G115" s="127" t="n"/>
      <c r="H115" s="127" t="n"/>
      <c r="I115" s="124" t="n"/>
      <c r="J115" s="124" t="n"/>
      <c r="K115" s="124" t="n"/>
      <c r="L115" s="124" t="n"/>
      <c r="M115" s="124" t="n"/>
      <c r="N115" s="124" t="n"/>
      <c r="O115" s="127" t="n"/>
      <c r="P115" s="127" t="n"/>
      <c r="Q115" s="127" t="n"/>
      <c r="R115" s="127" t="n"/>
      <c r="S115" s="127" t="n"/>
      <c r="T115" s="127" t="n"/>
      <c r="U115" s="127" t="n"/>
      <c r="V115" s="129">
        <f>IF($T115&lt;&gt;"TAK",0,IF($O115="NIEPOLICZONE",0,IFERROR(ROUND(IF($I115="",$J115,$I115)*IF($L115="",$M115,$L115),2),0)))</f>
        <v/>
      </c>
      <c r="W115" s="140">
        <f>IF($T115&lt;&gt;"TAK",0,IF($O115="NIEPOLICZONE",0,IFERROR(ROUND($J115*$M115,2),0)))</f>
        <v/>
      </c>
      <c r="X115" s="129">
        <f>IF($T115&lt;&gt;"TAK",0,IF($O115="NIEPOLICZONE",0,IFERROR(ROUND(IF($K115="",$J115,$K115)*IF($N115="",$M115,$N115),2),0)))</f>
        <v/>
      </c>
    </row>
    <row r="116" ht="18" customHeight="1" s="95">
      <c r="A116" s="120" t="inlineStr">
        <is>
          <t>K110</t>
        </is>
      </c>
      <c r="B116" s="127" t="n"/>
      <c r="C116" s="127" t="n"/>
      <c r="D116" s="127" t="n"/>
      <c r="E116" s="127" t="n"/>
      <c r="F116" s="127" t="n"/>
      <c r="G116" s="127" t="n"/>
      <c r="H116" s="127" t="n"/>
      <c r="I116" s="124" t="n"/>
      <c r="J116" s="124" t="n"/>
      <c r="K116" s="124" t="n"/>
      <c r="L116" s="124" t="n"/>
      <c r="M116" s="124" t="n"/>
      <c r="N116" s="124" t="n"/>
      <c r="O116" s="127" t="n"/>
      <c r="P116" s="127" t="n"/>
      <c r="Q116" s="127" t="n"/>
      <c r="R116" s="127" t="n"/>
      <c r="S116" s="127" t="n"/>
      <c r="T116" s="127" t="n"/>
      <c r="U116" s="127" t="n"/>
      <c r="V116" s="129">
        <f>IF($T116&lt;&gt;"TAK",0,IF($O116="NIEPOLICZONE",0,IFERROR(ROUND(IF($I116="",$J116,$I116)*IF($L116="",$M116,$L116),2),0)))</f>
        <v/>
      </c>
      <c r="W116" s="140">
        <f>IF($T116&lt;&gt;"TAK",0,IF($O116="NIEPOLICZONE",0,IFERROR(ROUND($J116*$M116,2),0)))</f>
        <v/>
      </c>
      <c r="X116" s="129">
        <f>IF($T116&lt;&gt;"TAK",0,IF($O116="NIEPOLICZONE",0,IFERROR(ROUND(IF($K116="",$J116,$K116)*IF($N116="",$M116,$N116),2),0)))</f>
        <v/>
      </c>
    </row>
    <row r="117" ht="18" customHeight="1" s="95">
      <c r="A117" s="120" t="inlineStr">
        <is>
          <t>K111</t>
        </is>
      </c>
      <c r="B117" s="127" t="n"/>
      <c r="C117" s="127" t="n"/>
      <c r="D117" s="127" t="n"/>
      <c r="E117" s="127" t="n"/>
      <c r="F117" s="127" t="n"/>
      <c r="G117" s="127" t="n"/>
      <c r="H117" s="127" t="n"/>
      <c r="I117" s="124" t="n"/>
      <c r="J117" s="124" t="n"/>
      <c r="K117" s="124" t="n"/>
      <c r="L117" s="124" t="n"/>
      <c r="M117" s="124" t="n"/>
      <c r="N117" s="124" t="n"/>
      <c r="O117" s="127" t="n"/>
      <c r="P117" s="127" t="n"/>
      <c r="Q117" s="127" t="n"/>
      <c r="R117" s="127" t="n"/>
      <c r="S117" s="127" t="n"/>
      <c r="T117" s="127" t="n"/>
      <c r="U117" s="127" t="n"/>
      <c r="V117" s="129">
        <f>IF($T117&lt;&gt;"TAK",0,IF($O117="NIEPOLICZONE",0,IFERROR(ROUND(IF($I117="",$J117,$I117)*IF($L117="",$M117,$L117),2),0)))</f>
        <v/>
      </c>
      <c r="W117" s="140">
        <f>IF($T117&lt;&gt;"TAK",0,IF($O117="NIEPOLICZONE",0,IFERROR(ROUND($J117*$M117,2),0)))</f>
        <v/>
      </c>
      <c r="X117" s="129">
        <f>IF($T117&lt;&gt;"TAK",0,IF($O117="NIEPOLICZONE",0,IFERROR(ROUND(IF($K117="",$J117,$K117)*IF($N117="",$M117,$N117),2),0)))</f>
        <v/>
      </c>
    </row>
    <row r="118" ht="18" customHeight="1" s="95">
      <c r="A118" s="120" t="inlineStr">
        <is>
          <t>K112</t>
        </is>
      </c>
      <c r="B118" s="127" t="n"/>
      <c r="C118" s="127" t="n"/>
      <c r="D118" s="127" t="n"/>
      <c r="E118" s="127" t="n"/>
      <c r="F118" s="127" t="n"/>
      <c r="G118" s="127" t="n"/>
      <c r="H118" s="127" t="n"/>
      <c r="I118" s="124" t="n"/>
      <c r="J118" s="124" t="n"/>
      <c r="K118" s="124" t="n"/>
      <c r="L118" s="124" t="n"/>
      <c r="M118" s="124" t="n"/>
      <c r="N118" s="124" t="n"/>
      <c r="O118" s="127" t="n"/>
      <c r="P118" s="127" t="n"/>
      <c r="Q118" s="127" t="n"/>
      <c r="R118" s="127" t="n"/>
      <c r="S118" s="127" t="n"/>
      <c r="T118" s="127" t="n"/>
      <c r="U118" s="127" t="n"/>
      <c r="V118" s="129">
        <f>IF($T118&lt;&gt;"TAK",0,IF($O118="NIEPOLICZONE",0,IFERROR(ROUND(IF($I118="",$J118,$I118)*IF($L118="",$M118,$L118),2),0)))</f>
        <v/>
      </c>
      <c r="W118" s="140">
        <f>IF($T118&lt;&gt;"TAK",0,IF($O118="NIEPOLICZONE",0,IFERROR(ROUND($J118*$M118,2),0)))</f>
        <v/>
      </c>
      <c r="X118" s="129">
        <f>IF($T118&lt;&gt;"TAK",0,IF($O118="NIEPOLICZONE",0,IFERROR(ROUND(IF($K118="",$J118,$K118)*IF($N118="",$M118,$N118),2),0)))</f>
        <v/>
      </c>
    </row>
    <row r="119" ht="18" customHeight="1" s="95">
      <c r="A119" s="120" t="inlineStr">
        <is>
          <t>K113</t>
        </is>
      </c>
      <c r="B119" s="127" t="n"/>
      <c r="C119" s="127" t="n"/>
      <c r="D119" s="127" t="n"/>
      <c r="E119" s="127" t="n"/>
      <c r="F119" s="127" t="n"/>
      <c r="G119" s="127" t="n"/>
      <c r="H119" s="127" t="n"/>
      <c r="I119" s="124" t="n"/>
      <c r="J119" s="124" t="n"/>
      <c r="K119" s="124" t="n"/>
      <c r="L119" s="124" t="n"/>
      <c r="M119" s="124" t="n"/>
      <c r="N119" s="124" t="n"/>
      <c r="O119" s="127" t="n"/>
      <c r="P119" s="127" t="n"/>
      <c r="Q119" s="127" t="n"/>
      <c r="R119" s="127" t="n"/>
      <c r="S119" s="127" t="n"/>
      <c r="T119" s="127" t="n"/>
      <c r="U119" s="127" t="n"/>
      <c r="V119" s="129">
        <f>IF($T119&lt;&gt;"TAK",0,IF($O119="NIEPOLICZONE",0,IFERROR(ROUND(IF($I119="",$J119,$I119)*IF($L119="",$M119,$L119),2),0)))</f>
        <v/>
      </c>
      <c r="W119" s="140">
        <f>IF($T119&lt;&gt;"TAK",0,IF($O119="NIEPOLICZONE",0,IFERROR(ROUND($J119*$M119,2),0)))</f>
        <v/>
      </c>
      <c r="X119" s="129">
        <f>IF($T119&lt;&gt;"TAK",0,IF($O119="NIEPOLICZONE",0,IFERROR(ROUND(IF($K119="",$J119,$K119)*IF($N119="",$M119,$N119),2),0)))</f>
        <v/>
      </c>
    </row>
    <row r="120" ht="18" customHeight="1" s="95">
      <c r="A120" s="120" t="inlineStr">
        <is>
          <t>K114</t>
        </is>
      </c>
      <c r="B120" s="127" t="n"/>
      <c r="C120" s="127" t="n"/>
      <c r="D120" s="127" t="n"/>
      <c r="E120" s="127" t="n"/>
      <c r="F120" s="127" t="n"/>
      <c r="G120" s="127" t="n"/>
      <c r="H120" s="127" t="n"/>
      <c r="I120" s="124" t="n"/>
      <c r="J120" s="124" t="n"/>
      <c r="K120" s="124" t="n"/>
      <c r="L120" s="124" t="n"/>
      <c r="M120" s="124" t="n"/>
      <c r="N120" s="124" t="n"/>
      <c r="O120" s="127" t="n"/>
      <c r="P120" s="127" t="n"/>
      <c r="Q120" s="127" t="n"/>
      <c r="R120" s="127" t="n"/>
      <c r="S120" s="127" t="n"/>
      <c r="T120" s="127" t="n"/>
      <c r="U120" s="127" t="n"/>
      <c r="V120" s="129">
        <f>IF($T120&lt;&gt;"TAK",0,IF($O120="NIEPOLICZONE",0,IFERROR(ROUND(IF($I120="",$J120,$I120)*IF($L120="",$M120,$L120),2),0)))</f>
        <v/>
      </c>
      <c r="W120" s="140">
        <f>IF($T120&lt;&gt;"TAK",0,IF($O120="NIEPOLICZONE",0,IFERROR(ROUND($J120*$M120,2),0)))</f>
        <v/>
      </c>
      <c r="X120" s="129">
        <f>IF($T120&lt;&gt;"TAK",0,IF($O120="NIEPOLICZONE",0,IFERROR(ROUND(IF($K120="",$J120,$K120)*IF($N120="",$M120,$N120),2),0)))</f>
        <v/>
      </c>
    </row>
    <row r="121" ht="18" customHeight="1" s="95">
      <c r="A121" s="120" t="inlineStr">
        <is>
          <t>K115</t>
        </is>
      </c>
      <c r="B121" s="127" t="n"/>
      <c r="C121" s="127" t="n"/>
      <c r="D121" s="127" t="n"/>
      <c r="E121" s="127" t="n"/>
      <c r="F121" s="127" t="n"/>
      <c r="G121" s="127" t="n"/>
      <c r="H121" s="127" t="n"/>
      <c r="I121" s="124" t="n"/>
      <c r="J121" s="124" t="n"/>
      <c r="K121" s="124" t="n"/>
      <c r="L121" s="124" t="n"/>
      <c r="M121" s="124" t="n"/>
      <c r="N121" s="124" t="n"/>
      <c r="O121" s="127" t="n"/>
      <c r="P121" s="127" t="n"/>
      <c r="Q121" s="127" t="n"/>
      <c r="R121" s="127" t="n"/>
      <c r="S121" s="127" t="n"/>
      <c r="T121" s="127" t="n"/>
      <c r="U121" s="127" t="n"/>
      <c r="V121" s="129">
        <f>IF($T121&lt;&gt;"TAK",0,IF($O121="NIEPOLICZONE",0,IFERROR(ROUND(IF($I121="",$J121,$I121)*IF($L121="",$M121,$L121),2),0)))</f>
        <v/>
      </c>
      <c r="W121" s="140">
        <f>IF($T121&lt;&gt;"TAK",0,IF($O121="NIEPOLICZONE",0,IFERROR(ROUND($J121*$M121,2),0)))</f>
        <v/>
      </c>
      <c r="X121" s="129">
        <f>IF($T121&lt;&gt;"TAK",0,IF($O121="NIEPOLICZONE",0,IFERROR(ROUND(IF($K121="",$J121,$K121)*IF($N121="",$M121,$N121),2),0)))</f>
        <v/>
      </c>
    </row>
    <row r="122" ht="18" customHeight="1" s="95">
      <c r="A122" s="120" t="inlineStr">
        <is>
          <t>K116</t>
        </is>
      </c>
      <c r="B122" s="127" t="n"/>
      <c r="C122" s="127" t="n"/>
      <c r="D122" s="127" t="n"/>
      <c r="E122" s="127" t="n"/>
      <c r="F122" s="127" t="n"/>
      <c r="G122" s="127" t="n"/>
      <c r="H122" s="127" t="n"/>
      <c r="I122" s="124" t="n"/>
      <c r="J122" s="124" t="n"/>
      <c r="K122" s="124" t="n"/>
      <c r="L122" s="124" t="n"/>
      <c r="M122" s="124" t="n"/>
      <c r="N122" s="124" t="n"/>
      <c r="O122" s="127" t="n"/>
      <c r="P122" s="127" t="n"/>
      <c r="Q122" s="127" t="n"/>
      <c r="R122" s="127" t="n"/>
      <c r="S122" s="127" t="n"/>
      <c r="T122" s="127" t="n"/>
      <c r="U122" s="127" t="n"/>
      <c r="V122" s="129">
        <f>IF($T122&lt;&gt;"TAK",0,IF($O122="NIEPOLICZONE",0,IFERROR(ROUND(IF($I122="",$J122,$I122)*IF($L122="",$M122,$L122),2),0)))</f>
        <v/>
      </c>
      <c r="W122" s="140">
        <f>IF($T122&lt;&gt;"TAK",0,IF($O122="NIEPOLICZONE",0,IFERROR(ROUND($J122*$M122,2),0)))</f>
        <v/>
      </c>
      <c r="X122" s="129">
        <f>IF($T122&lt;&gt;"TAK",0,IF($O122="NIEPOLICZONE",0,IFERROR(ROUND(IF($K122="",$J122,$K122)*IF($N122="",$M122,$N122),2),0)))</f>
        <v/>
      </c>
    </row>
    <row r="123" ht="18" customHeight="1" s="95">
      <c r="A123" s="120" t="inlineStr">
        <is>
          <t>K117</t>
        </is>
      </c>
      <c r="B123" s="127" t="n"/>
      <c r="C123" s="127" t="n"/>
      <c r="D123" s="127" t="n"/>
      <c r="E123" s="127" t="n"/>
      <c r="F123" s="127" t="n"/>
      <c r="G123" s="127" t="n"/>
      <c r="H123" s="127" t="n"/>
      <c r="I123" s="124" t="n"/>
      <c r="J123" s="124" t="n"/>
      <c r="K123" s="124" t="n"/>
      <c r="L123" s="124" t="n"/>
      <c r="M123" s="124" t="n"/>
      <c r="N123" s="124" t="n"/>
      <c r="O123" s="127" t="n"/>
      <c r="P123" s="127" t="n"/>
      <c r="Q123" s="127" t="n"/>
      <c r="R123" s="127" t="n"/>
      <c r="S123" s="127" t="n"/>
      <c r="T123" s="127" t="n"/>
      <c r="U123" s="127" t="n"/>
      <c r="V123" s="129">
        <f>IF($T123&lt;&gt;"TAK",0,IF($O123="NIEPOLICZONE",0,IFERROR(ROUND(IF($I123="",$J123,$I123)*IF($L123="",$M123,$L123),2),0)))</f>
        <v/>
      </c>
      <c r="W123" s="140">
        <f>IF($T123&lt;&gt;"TAK",0,IF($O123="NIEPOLICZONE",0,IFERROR(ROUND($J123*$M123,2),0)))</f>
        <v/>
      </c>
      <c r="X123" s="129">
        <f>IF($T123&lt;&gt;"TAK",0,IF($O123="NIEPOLICZONE",0,IFERROR(ROUND(IF($K123="",$J123,$K123)*IF($N123="",$M123,$N123),2),0)))</f>
        <v/>
      </c>
    </row>
    <row r="124" ht="18" customHeight="1" s="95">
      <c r="A124" s="120" t="inlineStr">
        <is>
          <t>K118</t>
        </is>
      </c>
      <c r="B124" s="127" t="n"/>
      <c r="C124" s="127" t="n"/>
      <c r="D124" s="127" t="n"/>
      <c r="E124" s="127" t="n"/>
      <c r="F124" s="127" t="n"/>
      <c r="G124" s="127" t="n"/>
      <c r="H124" s="127" t="n"/>
      <c r="I124" s="124" t="n"/>
      <c r="J124" s="124" t="n"/>
      <c r="K124" s="124" t="n"/>
      <c r="L124" s="124" t="n"/>
      <c r="M124" s="124" t="n"/>
      <c r="N124" s="124" t="n"/>
      <c r="O124" s="127" t="n"/>
      <c r="P124" s="127" t="n"/>
      <c r="Q124" s="127" t="n"/>
      <c r="R124" s="127" t="n"/>
      <c r="S124" s="127" t="n"/>
      <c r="T124" s="127" t="n"/>
      <c r="U124" s="127" t="n"/>
      <c r="V124" s="129">
        <f>IF($T124&lt;&gt;"TAK",0,IF($O124="NIEPOLICZONE",0,IFERROR(ROUND(IF($I124="",$J124,$I124)*IF($L124="",$M124,$L124),2),0)))</f>
        <v/>
      </c>
      <c r="W124" s="140">
        <f>IF($T124&lt;&gt;"TAK",0,IF($O124="NIEPOLICZONE",0,IFERROR(ROUND($J124*$M124,2),0)))</f>
        <v/>
      </c>
      <c r="X124" s="129">
        <f>IF($T124&lt;&gt;"TAK",0,IF($O124="NIEPOLICZONE",0,IFERROR(ROUND(IF($K124="",$J124,$K124)*IF($N124="",$M124,$N124),2),0)))</f>
        <v/>
      </c>
    </row>
    <row r="125" ht="18" customHeight="1" s="95">
      <c r="A125" s="120" t="inlineStr">
        <is>
          <t>K119</t>
        </is>
      </c>
      <c r="B125" s="127" t="n"/>
      <c r="C125" s="127" t="n"/>
      <c r="D125" s="127" t="n"/>
      <c r="E125" s="127" t="n"/>
      <c r="F125" s="127" t="n"/>
      <c r="G125" s="127" t="n"/>
      <c r="H125" s="127" t="n"/>
      <c r="I125" s="124" t="n"/>
      <c r="J125" s="124" t="n"/>
      <c r="K125" s="124" t="n"/>
      <c r="L125" s="124" t="n"/>
      <c r="M125" s="124" t="n"/>
      <c r="N125" s="124" t="n"/>
      <c r="O125" s="127" t="n"/>
      <c r="P125" s="127" t="n"/>
      <c r="Q125" s="127" t="n"/>
      <c r="R125" s="127" t="n"/>
      <c r="S125" s="127" t="n"/>
      <c r="T125" s="127" t="n"/>
      <c r="U125" s="127" t="n"/>
      <c r="V125" s="129">
        <f>IF($T125&lt;&gt;"TAK",0,IF($O125="NIEPOLICZONE",0,IFERROR(ROUND(IF($I125="",$J125,$I125)*IF($L125="",$M125,$L125),2),0)))</f>
        <v/>
      </c>
      <c r="W125" s="140">
        <f>IF($T125&lt;&gt;"TAK",0,IF($O125="NIEPOLICZONE",0,IFERROR(ROUND($J125*$M125,2),0)))</f>
        <v/>
      </c>
      <c r="X125" s="129">
        <f>IF($T125&lt;&gt;"TAK",0,IF($O125="NIEPOLICZONE",0,IFERROR(ROUND(IF($K125="",$J125,$K125)*IF($N125="",$M125,$N125),2),0)))</f>
        <v/>
      </c>
    </row>
    <row r="126" ht="18" customHeight="1" s="95">
      <c r="A126" s="120" t="inlineStr">
        <is>
          <t>K120</t>
        </is>
      </c>
      <c r="B126" s="127" t="n"/>
      <c r="C126" s="127" t="n"/>
      <c r="D126" s="127" t="n"/>
      <c r="E126" s="127" t="n"/>
      <c r="F126" s="127" t="n"/>
      <c r="G126" s="127" t="n"/>
      <c r="H126" s="127" t="n"/>
      <c r="I126" s="124" t="n"/>
      <c r="J126" s="124" t="n"/>
      <c r="K126" s="124" t="n"/>
      <c r="L126" s="124" t="n"/>
      <c r="M126" s="124" t="n"/>
      <c r="N126" s="124" t="n"/>
      <c r="O126" s="127" t="n"/>
      <c r="P126" s="127" t="n"/>
      <c r="Q126" s="127" t="n"/>
      <c r="R126" s="127" t="n"/>
      <c r="S126" s="127" t="n"/>
      <c r="T126" s="127" t="n"/>
      <c r="U126" s="127" t="n"/>
      <c r="V126" s="129">
        <f>IF($T126&lt;&gt;"TAK",0,IF($O126="NIEPOLICZONE",0,IFERROR(ROUND(IF($I126="",$J126,$I126)*IF($L126="",$M126,$L126),2),0)))</f>
        <v/>
      </c>
      <c r="W126" s="140">
        <f>IF($T126&lt;&gt;"TAK",0,IF($O126="NIEPOLICZONE",0,IFERROR(ROUND($J126*$M126,2),0)))</f>
        <v/>
      </c>
      <c r="X126" s="129">
        <f>IF($T126&lt;&gt;"TAK",0,IF($O126="NIEPOLICZONE",0,IFERROR(ROUND(IF($K126="",$J126,$K126)*IF($N126="",$M126,$N126),2),0)))</f>
        <v/>
      </c>
    </row>
  </sheetData>
  <mergeCells count="3">
    <mergeCell ref="A4:H4"/>
    <mergeCell ref="A3:H3"/>
    <mergeCell ref="A2:H2"/>
  </mergeCells>
  <dataValidations count="10">
    <dataValidation sqref="B7:B126" showDropDown="0" showInputMessage="0" showErrorMessage="0" allowBlank="1" errorTitle="Wartość spoza listy" error="Wybierz wartość z listy." type="list" errorStyle="stop" operator="between">
      <formula1>'LISTY POMOCNICZE'!$L$8:$L$15</formula1>
      <formula2>0</formula2>
    </dataValidation>
    <dataValidation sqref="C7:C126" showDropDown="0" showInputMessage="0" showErrorMessage="0" allowBlank="1" errorTitle="Wartość spoza listy" error="Wybierz wartość z listy." type="list" errorStyle="stop" operator="between">
      <formula1>'LISTY POMOCNICZE'!$M$8:$M$20</formula1>
      <formula2>0</formula2>
    </dataValidation>
    <dataValidation sqref="D7:D126" showDropDown="0" showInputMessage="0" showErrorMessage="0" allowBlank="1" errorTitle="Wartość spoza listy" error="Wybierz wartość z listy." type="list" errorStyle="stop" operator="between">
      <formula1>'LISTY POMOCNICZE'!$K$8:$K$19</formula1>
      <formula2>0</formula2>
    </dataValidation>
    <dataValidation sqref="F7:F126" showDropDown="0" showInputMessage="0" showErrorMessage="0" allowBlank="1" errorTitle="Wartość spoza listy" error="Wybierz wartość z listy." type="list" errorStyle="stop" operator="between">
      <formula1>'LISTY POMOCNICZE'!$F$8:$F$12</formula1>
      <formula2>0</formula2>
    </dataValidation>
    <dataValidation sqref="G7:G126" showDropDown="0" showInputMessage="0" showErrorMessage="0" allowBlank="1" errorTitle="Wartość spoza listy" error="Wybierz wartość z listy." type="list" errorStyle="stop" operator="between">
      <formula1>'LISTY POMOCNICZE'!$S$8:$S$14</formula1>
      <formula2>0</formula2>
    </dataValidation>
    <dataValidation sqref="O7:O126" showDropDown="0" showInputMessage="0" showErrorMessage="0" allowBlank="1" errorTitle="Wartość spoza listy" error="Wybierz wartość z listy." type="list" errorStyle="stop" operator="between">
      <formula1>'LISTY POMOCNICZE'!$G$8:$G$13</formula1>
      <formula2>0</formula2>
    </dataValidation>
    <dataValidation sqref="Q7:Q126" showDropDown="0" showInputMessage="0" showErrorMessage="0" allowBlank="1" errorTitle="Wartość spoza listy" error="Wybierz wartość z listy." type="list" errorStyle="stop" operator="between">
      <formula1>'LISTY POMOCNICZE'!$H$8:$H$10</formula1>
      <formula2>0</formula2>
    </dataValidation>
    <dataValidation sqref="S7:S126" showDropDown="0" showInputMessage="0" showErrorMessage="0" allowBlank="1" errorTitle="Wartość spoza listy" error="Wybierz wartość z listy." type="list" errorStyle="stop" operator="between">
      <formula1>'LISTY POMOCNICZE'!$N$8:$N$9</formula1>
      <formula2>0</formula2>
    </dataValidation>
    <dataValidation sqref="T7:T126" showDropDown="0" showInputMessage="0" showErrorMessage="0" allowBlank="1" errorTitle="Wartość spoza listy" error="Wybierz wartość z listy." type="list" errorStyle="stop" operator="between">
      <formula1>'LISTY POMOCNICZE'!$I$8:$I$9</formula1>
      <formula2>0</formula2>
    </dataValidation>
    <dataValidation sqref="I7:N126" showDropDown="0" showInputMessage="0" showErrorMessage="0" allowBlank="1" errorTitle="Wartość nieprawidłowa" error="Podaj liczbę nie mniejszą niż 0." type="decimal" errorStyle="stop" operator="greaterThanOrEqual">
      <formula1>0</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8.xml><?xml version="1.0" encoding="utf-8"?>
<worksheet xmlns="http://schemas.openxmlformats.org/spreadsheetml/2006/main">
  <sheetPr filterMode="0">
    <tabColor rgb="FF0164FF"/>
    <outlinePr summaryBelow="1" summaryRight="1"/>
    <pageSetUpPr fitToPage="0"/>
  </sheetPr>
  <dimension ref="A1:W23"/>
  <sheetViews>
    <sheetView showFormulas="0" showGridLines="0" showRowColHeaders="1" showZeros="1" rightToLeft="0" tabSelected="0" showOutlineSymbols="1" defaultGridColor="1"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baseColWidth="8" defaultColWidth="8.6796875" defaultRowHeight="15" customHeight="0" zeroHeight="0" outlineLevelRow="0"/>
  <cols>
    <col width="11" customWidth="1" style="94" min="1" max="1"/>
    <col width="13" customWidth="1" style="94" min="2" max="2"/>
    <col width="15" customWidth="1" style="94" min="3" max="5"/>
    <col width="17" customWidth="1" style="94" min="6" max="8"/>
    <col width="12" customWidth="1" style="94" min="9" max="9"/>
    <col width="17" customWidth="1" style="94" min="10" max="10"/>
    <col width="15" customWidth="1" style="94" min="11" max="12"/>
    <col width="20" customWidth="1" style="94" min="13" max="13"/>
    <col width="18" customWidth="1" style="94" min="14" max="14"/>
    <col width="14" customWidth="1" style="94" min="15" max="17"/>
    <col width="13" customWidth="1" style="94" min="18" max="23"/>
  </cols>
  <sheetData>
    <row r="1" ht="15" customHeight="1" s="95">
      <c r="A1" s="116" t="inlineStr">
        <is>
          <t>NexaIT</t>
        </is>
      </c>
    </row>
    <row r="2" ht="24" customHeight="1" s="95">
      <c r="A2" s="117" t="inlineStr">
        <is>
          <t>Data and information playback</t>
        </is>
      </c>
    </row>
    <row r="3" ht="43.5" customHeight="1" s="95">
      <c r="A3" s="118" t="inlineStr">
        <is>
          <t>How much data actually disappears and how much it costs to restore it. The RPO tells you to what point in time you can go back - this is not the same as the time to restore the system.</t>
        </is>
      </c>
    </row>
    <row r="4"/>
    <row r="5"/>
    <row r="6" ht="19.5" customHeight="1" s="95">
      <c r="A6" s="99" t="inlineStr">
        <is>
          <t xml:space="preserve">  DATA REPLAY - ONE LINE PER SCENARIO</t>
        </is>
      </c>
      <c r="B6" s="100" t="n"/>
      <c r="C6" s="100" t="n"/>
      <c r="D6" s="100" t="n"/>
      <c r="E6" s="100" t="n"/>
      <c r="F6" s="100" t="n"/>
      <c r="G6" s="100" t="n"/>
      <c r="H6" s="100" t="n"/>
      <c r="I6" s="100" t="n"/>
      <c r="J6" s="100" t="n"/>
      <c r="K6" s="100" t="n"/>
      <c r="L6" s="100" t="n"/>
      <c r="M6" s="100" t="n"/>
      <c r="N6" s="100" t="n"/>
      <c r="O6" s="100" t="n"/>
      <c r="P6" s="100" t="n"/>
      <c r="Q6" s="100" t="n"/>
      <c r="R6" s="100" t="n"/>
      <c r="S6" s="100" t="n"/>
      <c r="T6" s="100" t="n"/>
      <c r="U6" s="100" t="n"/>
      <c r="V6" s="100" t="n"/>
      <c r="W6" s="100" t="n"/>
    </row>
    <row r="7" ht="42" customHeight="1" s="95">
      <c r="A7" s="119" t="inlineStr">
        <is>
          <t>Scenario</t>
        </is>
      </c>
      <c r="B7" s="119" t="inlineStr">
        <is>
          <t>RPO declared [h]</t>
        </is>
      </c>
      <c r="C7" s="119" t="inlineStr">
        <is>
          <t>Data Loss Window - Low [h]</t>
        </is>
      </c>
      <c r="D7" s="119" t="inlineStr">
        <is>
          <t>Data Loss Window - Baseline [h]</t>
        </is>
      </c>
      <c r="E7" s="119" t="inlineStr">
        <is>
          <t>Data Loss Window - High [h]</t>
        </is>
      </c>
      <c r="F7" s="119" t="inlineStr">
        <is>
          <t>Records to be reintroduced - Low</t>
        </is>
      </c>
      <c r="G7" s="119" t="inlineStr">
        <is>
          <t>Records to be re-entered - base</t>
        </is>
      </c>
      <c r="H7" s="119" t="inlineStr">
        <is>
          <t>Records to be reintroduced - High</t>
        </is>
      </c>
      <c r="I7" s="119" t="inlineStr">
        <is>
          <t>Minutes per record</t>
        </is>
      </c>
      <c r="J7" s="119" t="inlineStr">
        <is>
          <t>Cost per person per hour [PLN/h] (empty = profile)</t>
        </is>
      </c>
      <c r="K7" s="119" t="inlineStr">
        <is>
          <t>Hours of verification and arrangements</t>
        </is>
      </c>
      <c r="L7" s="119" t="inlineStr">
        <is>
          <t>External replacement cost [PLN]</t>
        </is>
      </c>
      <c r="M7" s="119" t="inlineStr">
        <is>
          <t>Copy reliability</t>
        </is>
      </c>
      <c r="N7" s="119" t="inlineStr">
        <is>
          <t>Capture of own work</t>
        </is>
      </c>
      <c r="O7" s="119" t="inlineStr">
        <is>
          <t>Own work - low [PLN]</t>
        </is>
      </c>
      <c r="P7" s="119" t="inlineStr">
        <is>
          <t>Own work - base [PLN]</t>
        </is>
      </c>
      <c r="Q7" s="119" t="inlineStr">
        <is>
          <t>Own work - high [PLN]</t>
        </is>
      </c>
      <c r="R7" s="119" t="inlineStr">
        <is>
          <t>→ CAPACITY low [PLN]</t>
        </is>
      </c>
      <c r="S7" s="119" t="inlineStr">
        <is>
          <t>→ BASE ABILITY [PLN]</t>
        </is>
      </c>
      <c r="T7" s="119" t="inlineStr">
        <is>
          <t>→ CAPACITY high [PLN]</t>
        </is>
      </c>
      <c r="U7" s="119" t="inlineStr">
        <is>
          <t>→ CASH low [PLN]</t>
        </is>
      </c>
      <c r="V7" s="119" t="inlineStr">
        <is>
          <t>→ base CASH [PLN]</t>
        </is>
      </c>
      <c r="W7" s="119" t="inlineStr">
        <is>
          <t>→ CASH high [PLN]</t>
        </is>
      </c>
    </row>
    <row r="8" ht="19.5" customHeight="1" s="95">
      <c r="A8" s="141" t="inlineStr">
        <is>
          <t>S1</t>
        </is>
      </c>
      <c r="B8" s="124" t="n"/>
      <c r="C8" s="124" t="n"/>
      <c r="D8" s="124" t="n"/>
      <c r="E8" s="124" t="n"/>
      <c r="F8" s="123" t="n"/>
      <c r="G8" s="123" t="n"/>
      <c r="H8" s="123" t="n"/>
      <c r="I8" s="124" t="n"/>
      <c r="J8" s="126" t="n"/>
      <c r="K8" s="124" t="n"/>
      <c r="L8" s="126" t="n"/>
      <c r="M8" s="127" t="n"/>
      <c r="N8" s="127" t="n"/>
      <c r="O8" s="129">
        <f>IFERROR(ROUND((IF($F8="",$G8,$F8)*$I8/60+IF($K8="",0,$K8))*IF($J8="",IF('COMPANY PROFILE'!$D$18="",0,'COMPANY PROFILE'!$D$18),$J8),2),0)</f>
        <v/>
      </c>
      <c r="P8" s="129">
        <f>IFERROR(ROUND((IF($G8="",$G8,$G8)*$I8/60+IF($K8="",0,$K8))*IF($J8="",IF('COMPANY PROFILE'!$D$18="",0,'COMPANY PROFILE'!$D$18),$J8),2),0)</f>
        <v/>
      </c>
      <c r="Q8" s="129">
        <f>IFERROR(ROUND((IF($H8="",$G8,$H8)*$I8/60+IF($K8="",0,$K8))*IF($J8="",IF('COMPANY PROFILE'!$D$18="",0,'COMPANY PROFILE'!$D$18),$J8),2),0)</f>
        <v/>
      </c>
      <c r="R8" s="129">
        <f>IF($N8="ZDOLNOŚĆ",O8,0)</f>
        <v/>
      </c>
      <c r="S8" s="129">
        <f>IF($N8="ZDOLNOŚĆ",P8,0)</f>
        <v/>
      </c>
      <c r="T8" s="129">
        <f>IF($N8="ZDOLNOŚĆ",Q8,0)</f>
        <v/>
      </c>
      <c r="U8" s="129">
        <f>ROUND(IF($N8="GOTÓWKA",O8,0)+IF($L8="",0,$L8),2)</f>
        <v/>
      </c>
      <c r="V8" s="129">
        <f>ROUND(IF($N8="GOTÓWKA",P8,0)+IF($L8="",0,$L8),2)</f>
        <v/>
      </c>
      <c r="W8" s="129">
        <f>ROUND(IF($N8="GOTÓWKA",Q8,0)+IF($L8="",0,$L8),2)</f>
        <v/>
      </c>
    </row>
    <row r="9" ht="19.5" customHeight="1" s="95">
      <c r="A9" s="141" t="inlineStr">
        <is>
          <t>S2</t>
        </is>
      </c>
      <c r="B9" s="124" t="n"/>
      <c r="C9" s="124" t="n"/>
      <c r="D9" s="124" t="n"/>
      <c r="E9" s="124" t="n"/>
      <c r="F9" s="123" t="n"/>
      <c r="G9" s="123" t="n"/>
      <c r="H9" s="123" t="n"/>
      <c r="I9" s="124" t="n"/>
      <c r="J9" s="126" t="n"/>
      <c r="K9" s="124" t="n"/>
      <c r="L9" s="126" t="n"/>
      <c r="M9" s="127" t="n"/>
      <c r="N9" s="127" t="n"/>
      <c r="O9" s="129">
        <f>IFERROR(ROUND((IF($F9="",$G9,$F9)*$I9/60+IF($K9="",0,$K9))*IF($J9="",IF('COMPANY PROFILE'!$D$18="",0,'COMPANY PROFILE'!$D$18),$J9),2),0)</f>
        <v/>
      </c>
      <c r="P9" s="129">
        <f>IFERROR(ROUND((IF($G9="",$G9,$G9)*$I9/60+IF($K9="",0,$K9))*IF($J9="",IF('COMPANY PROFILE'!$D$18="",0,'COMPANY PROFILE'!$D$18),$J9),2),0)</f>
        <v/>
      </c>
      <c r="Q9" s="129">
        <f>IFERROR(ROUND((IF($H9="",$G9,$H9)*$I9/60+IF($K9="",0,$K9))*IF($J9="",IF('COMPANY PROFILE'!$D$18="",0,'COMPANY PROFILE'!$D$18),$J9),2),0)</f>
        <v/>
      </c>
      <c r="R9" s="129">
        <f>IF($N9="ZDOLNOŚĆ",O9,0)</f>
        <v/>
      </c>
      <c r="S9" s="129">
        <f>IF($N9="ZDOLNOŚĆ",P9,0)</f>
        <v/>
      </c>
      <c r="T9" s="129">
        <f>IF($N9="ZDOLNOŚĆ",Q9,0)</f>
        <v/>
      </c>
      <c r="U9" s="129">
        <f>ROUND(IF($N9="GOTÓWKA",O9,0)+IF($L9="",0,$L9),2)</f>
        <v/>
      </c>
      <c r="V9" s="129">
        <f>ROUND(IF($N9="GOTÓWKA",P9,0)+IF($L9="",0,$L9),2)</f>
        <v/>
      </c>
      <c r="W9" s="129">
        <f>ROUND(IF($N9="GOTÓWKA",Q9,0)+IF($L9="",0,$L9),2)</f>
        <v/>
      </c>
    </row>
    <row r="10" ht="19.5" customHeight="1" s="95">
      <c r="A10" s="141" t="inlineStr">
        <is>
          <t>S3</t>
        </is>
      </c>
      <c r="B10" s="124" t="n"/>
      <c r="C10" s="124" t="n"/>
      <c r="D10" s="124" t="n"/>
      <c r="E10" s="124" t="n"/>
      <c r="F10" s="123" t="n"/>
      <c r="G10" s="123" t="n"/>
      <c r="H10" s="123" t="n"/>
      <c r="I10" s="124" t="n"/>
      <c r="J10" s="126" t="n"/>
      <c r="K10" s="124" t="n"/>
      <c r="L10" s="126" t="n"/>
      <c r="M10" s="127" t="n"/>
      <c r="N10" s="127" t="n"/>
      <c r="O10" s="129">
        <f>IFERROR(ROUND((IF($F10="",$G10,$F10)*$I10/60+IF($K10="",0,$K10))*IF($J10="",IF('COMPANY PROFILE'!$D$18="",0,'COMPANY PROFILE'!$D$18),$J10),2),0)</f>
        <v/>
      </c>
      <c r="P10" s="129">
        <f>IFERROR(ROUND((IF($G10="",$G10,$G10)*$I10/60+IF($K10="",0,$K10))*IF($J10="",IF('COMPANY PROFILE'!$D$18="",0,'COMPANY PROFILE'!$D$18),$J10),2),0)</f>
        <v/>
      </c>
      <c r="Q10" s="129">
        <f>IFERROR(ROUND((IF($H10="",$G10,$H10)*$I10/60+IF($K10="",0,$K10))*IF($J10="",IF('COMPANY PROFILE'!$D$18="",0,'COMPANY PROFILE'!$D$18),$J10),2),0)</f>
        <v/>
      </c>
      <c r="R10" s="129">
        <f>IF($N10="ZDOLNOŚĆ",O10,0)</f>
        <v/>
      </c>
      <c r="S10" s="129">
        <f>IF($N10="ZDOLNOŚĆ",P10,0)</f>
        <v/>
      </c>
      <c r="T10" s="129">
        <f>IF($N10="ZDOLNOŚĆ",Q10,0)</f>
        <v/>
      </c>
      <c r="U10" s="129">
        <f>ROUND(IF($N10="GOTÓWKA",O10,0)+IF($L10="",0,$L10),2)</f>
        <v/>
      </c>
      <c r="V10" s="129">
        <f>ROUND(IF($N10="GOTÓWKA",P10,0)+IF($L10="",0,$L10),2)</f>
        <v/>
      </c>
      <c r="W10" s="129">
        <f>ROUND(IF($N10="GOTÓWKA",Q10,0)+IF($L10="",0,$L10),2)</f>
        <v/>
      </c>
    </row>
    <row r="11" ht="19.5" customHeight="1" s="95">
      <c r="A11" s="141" t="inlineStr">
        <is>
          <t>S4</t>
        </is>
      </c>
      <c r="B11" s="124" t="n"/>
      <c r="C11" s="124" t="n"/>
      <c r="D11" s="124" t="n"/>
      <c r="E11" s="124" t="n"/>
      <c r="F11" s="123" t="n"/>
      <c r="G11" s="123" t="n"/>
      <c r="H11" s="123" t="n"/>
      <c r="I11" s="124" t="n"/>
      <c r="J11" s="126" t="n"/>
      <c r="K11" s="124" t="n"/>
      <c r="L11" s="126" t="n"/>
      <c r="M11" s="127" t="n"/>
      <c r="N11" s="127" t="n"/>
      <c r="O11" s="129">
        <f>IFERROR(ROUND((IF($F11="",$G11,$F11)*$I11/60+IF($K11="",0,$K11))*IF($J11="",IF('COMPANY PROFILE'!$D$18="",0,'COMPANY PROFILE'!$D$18),$J11),2),0)</f>
        <v/>
      </c>
      <c r="P11" s="129">
        <f>IFERROR(ROUND((IF($G11="",$G11,$G11)*$I11/60+IF($K11="",0,$K11))*IF($J11="",IF('COMPANY PROFILE'!$D$18="",0,'COMPANY PROFILE'!$D$18),$J11),2),0)</f>
        <v/>
      </c>
      <c r="Q11" s="129">
        <f>IFERROR(ROUND((IF($H11="",$G11,$H11)*$I11/60+IF($K11="",0,$K11))*IF($J11="",IF('COMPANY PROFILE'!$D$18="",0,'COMPANY PROFILE'!$D$18),$J11),2),0)</f>
        <v/>
      </c>
      <c r="R11" s="129">
        <f>IF($N11="ZDOLNOŚĆ",O11,0)</f>
        <v/>
      </c>
      <c r="S11" s="129">
        <f>IF($N11="ZDOLNOŚĆ",P11,0)</f>
        <v/>
      </c>
      <c r="T11" s="129">
        <f>IF($N11="ZDOLNOŚĆ",Q11,0)</f>
        <v/>
      </c>
      <c r="U11" s="129">
        <f>ROUND(IF($N11="GOTÓWKA",O11,0)+IF($L11="",0,$L11),2)</f>
        <v/>
      </c>
      <c r="V11" s="129">
        <f>ROUND(IF($N11="GOTÓWKA",P11,0)+IF($L11="",0,$L11),2)</f>
        <v/>
      </c>
      <c r="W11" s="129">
        <f>ROUND(IF($N11="GOTÓWKA",Q11,0)+IF($L11="",0,$L11),2)</f>
        <v/>
      </c>
    </row>
    <row r="12" ht="19.5" customHeight="1" s="95">
      <c r="A12" s="141" t="inlineStr">
        <is>
          <t>S5</t>
        </is>
      </c>
      <c r="B12" s="124" t="n"/>
      <c r="C12" s="124" t="n"/>
      <c r="D12" s="124" t="n"/>
      <c r="E12" s="124" t="n"/>
      <c r="F12" s="123" t="n"/>
      <c r="G12" s="123" t="n"/>
      <c r="H12" s="123" t="n"/>
      <c r="I12" s="124" t="n"/>
      <c r="J12" s="126" t="n"/>
      <c r="K12" s="124" t="n"/>
      <c r="L12" s="126" t="n"/>
      <c r="M12" s="127" t="n"/>
      <c r="N12" s="127" t="n"/>
      <c r="O12" s="129">
        <f>IFERROR(ROUND((IF($F12="",$G12,$F12)*$I12/60+IF($K12="",0,$K12))*IF($J12="",IF('COMPANY PROFILE'!$D$18="",0,'COMPANY PROFILE'!$D$18),$J12),2),0)</f>
        <v/>
      </c>
      <c r="P12" s="129">
        <f>IFERROR(ROUND((IF($G12="",$G12,$G12)*$I12/60+IF($K12="",0,$K12))*IF($J12="",IF('COMPANY PROFILE'!$D$18="",0,'COMPANY PROFILE'!$D$18),$J12),2),0)</f>
        <v/>
      </c>
      <c r="Q12" s="129">
        <f>IFERROR(ROUND((IF($H12="",$G12,$H12)*$I12/60+IF($K12="",0,$K12))*IF($J12="",IF('COMPANY PROFILE'!$D$18="",0,'COMPANY PROFILE'!$D$18),$J12),2),0)</f>
        <v/>
      </c>
      <c r="R12" s="129">
        <f>IF($N12="ZDOLNOŚĆ",O12,0)</f>
        <v/>
      </c>
      <c r="S12" s="129">
        <f>IF($N12="ZDOLNOŚĆ",P12,0)</f>
        <v/>
      </c>
      <c r="T12" s="129">
        <f>IF($N12="ZDOLNOŚĆ",Q12,0)</f>
        <v/>
      </c>
      <c r="U12" s="129">
        <f>ROUND(IF($N12="GOTÓWKA",O12,0)+IF($L12="",0,$L12),2)</f>
        <v/>
      </c>
      <c r="V12" s="129">
        <f>ROUND(IF($N12="GOTÓWKA",P12,0)+IF($L12="",0,$L12),2)</f>
        <v/>
      </c>
      <c r="W12" s="129">
        <f>ROUND(IF($N12="GOTÓWKA",Q12,0)+IF($L12="",0,$L12),2)</f>
        <v/>
      </c>
    </row>
    <row r="13" ht="19.5" customHeight="1" s="95">
      <c r="A13" s="141" t="inlineStr">
        <is>
          <t>S6</t>
        </is>
      </c>
      <c r="B13" s="124" t="n"/>
      <c r="C13" s="124" t="n"/>
      <c r="D13" s="124" t="n"/>
      <c r="E13" s="124" t="n"/>
      <c r="F13" s="123" t="n"/>
      <c r="G13" s="123" t="n"/>
      <c r="H13" s="123" t="n"/>
      <c r="I13" s="124" t="n"/>
      <c r="J13" s="126" t="n"/>
      <c r="K13" s="124" t="n"/>
      <c r="L13" s="126" t="n"/>
      <c r="M13" s="127" t="n"/>
      <c r="N13" s="127" t="n"/>
      <c r="O13" s="129">
        <f>IFERROR(ROUND((IF($F13="",$G13,$F13)*$I13/60+IF($K13="",0,$K13))*IF($J13="",IF('COMPANY PROFILE'!$D$18="",0,'COMPANY PROFILE'!$D$18),$J13),2),0)</f>
        <v/>
      </c>
      <c r="P13" s="129">
        <f>IFERROR(ROUND((IF($G13="",$G13,$G13)*$I13/60+IF($K13="",0,$K13))*IF($J13="",IF('COMPANY PROFILE'!$D$18="",0,'COMPANY PROFILE'!$D$18),$J13),2),0)</f>
        <v/>
      </c>
      <c r="Q13" s="129">
        <f>IFERROR(ROUND((IF($H13="",$G13,$H13)*$I13/60+IF($K13="",0,$K13))*IF($J13="",IF('COMPANY PROFILE'!$D$18="",0,'COMPANY PROFILE'!$D$18),$J13),2),0)</f>
        <v/>
      </c>
      <c r="R13" s="129">
        <f>IF($N13="ZDOLNOŚĆ",O13,0)</f>
        <v/>
      </c>
      <c r="S13" s="129">
        <f>IF($N13="ZDOLNOŚĆ",P13,0)</f>
        <v/>
      </c>
      <c r="T13" s="129">
        <f>IF($N13="ZDOLNOŚĆ",Q13,0)</f>
        <v/>
      </c>
      <c r="U13" s="129">
        <f>ROUND(IF($N13="GOTÓWKA",O13,0)+IF($L13="",0,$L13),2)</f>
        <v/>
      </c>
      <c r="V13" s="129">
        <f>ROUND(IF($N13="GOTÓWKA",P13,0)+IF($L13="",0,$L13),2)</f>
        <v/>
      </c>
      <c r="W13" s="129">
        <f>ROUND(IF($N13="GOTÓWKA",Q13,0)+IF($L13="",0,$L13),2)</f>
        <v/>
      </c>
    </row>
    <row r="14" ht="19.5" customHeight="1" s="95">
      <c r="A14" s="141" t="inlineStr">
        <is>
          <t>S7</t>
        </is>
      </c>
      <c r="B14" s="124" t="n"/>
      <c r="C14" s="124" t="n"/>
      <c r="D14" s="124" t="n"/>
      <c r="E14" s="124" t="n"/>
      <c r="F14" s="123" t="n"/>
      <c r="G14" s="123" t="n"/>
      <c r="H14" s="123" t="n"/>
      <c r="I14" s="124" t="n"/>
      <c r="J14" s="126" t="n"/>
      <c r="K14" s="124" t="n"/>
      <c r="L14" s="126" t="n"/>
      <c r="M14" s="127" t="n"/>
      <c r="N14" s="127" t="n"/>
      <c r="O14" s="129">
        <f>IFERROR(ROUND((IF($F14="",$G14,$F14)*$I14/60+IF($K14="",0,$K14))*IF($J14="",IF('COMPANY PROFILE'!$D$18="",0,'COMPANY PROFILE'!$D$18),$J14),2),0)</f>
        <v/>
      </c>
      <c r="P14" s="129">
        <f>IFERROR(ROUND((IF($G14="",$G14,$G14)*$I14/60+IF($K14="",0,$K14))*IF($J14="",IF('COMPANY PROFILE'!$D$18="",0,'COMPANY PROFILE'!$D$18),$J14),2),0)</f>
        <v/>
      </c>
      <c r="Q14" s="129">
        <f>IFERROR(ROUND((IF($H14="",$G14,$H14)*$I14/60+IF($K14="",0,$K14))*IF($J14="",IF('COMPANY PROFILE'!$D$18="",0,'COMPANY PROFILE'!$D$18),$J14),2),0)</f>
        <v/>
      </c>
      <c r="R14" s="129">
        <f>IF($N14="ZDOLNOŚĆ",O14,0)</f>
        <v/>
      </c>
      <c r="S14" s="129">
        <f>IF($N14="ZDOLNOŚĆ",P14,0)</f>
        <v/>
      </c>
      <c r="T14" s="129">
        <f>IF($N14="ZDOLNOŚĆ",Q14,0)</f>
        <v/>
      </c>
      <c r="U14" s="129">
        <f>ROUND(IF($N14="GOTÓWKA",O14,0)+IF($L14="",0,$L14),2)</f>
        <v/>
      </c>
      <c r="V14" s="129">
        <f>ROUND(IF($N14="GOTÓWKA",P14,0)+IF($L14="",0,$L14),2)</f>
        <v/>
      </c>
      <c r="W14" s="129">
        <f>ROUND(IF($N14="GOTÓWKA",Q14,0)+IF($L14="",0,$L14),2)</f>
        <v/>
      </c>
    </row>
    <row r="15" ht="19.5" customHeight="1" s="95">
      <c r="A15" s="141" t="inlineStr">
        <is>
          <t>S8</t>
        </is>
      </c>
      <c r="B15" s="124" t="n"/>
      <c r="C15" s="124" t="n"/>
      <c r="D15" s="124" t="n"/>
      <c r="E15" s="124" t="n"/>
      <c r="F15" s="123" t="n"/>
      <c r="G15" s="123" t="n"/>
      <c r="H15" s="123" t="n"/>
      <c r="I15" s="124" t="n"/>
      <c r="J15" s="126" t="n"/>
      <c r="K15" s="124" t="n"/>
      <c r="L15" s="126" t="n"/>
      <c r="M15" s="127" t="n"/>
      <c r="N15" s="127" t="n"/>
      <c r="O15" s="129">
        <f>IFERROR(ROUND((IF($F15="",$G15,$F15)*$I15/60+IF($K15="",0,$K15))*IF($J15="",IF('COMPANY PROFILE'!$D$18="",0,'COMPANY PROFILE'!$D$18),$J15),2),0)</f>
        <v/>
      </c>
      <c r="P15" s="129">
        <f>IFERROR(ROUND((IF($G15="",$G15,$G15)*$I15/60+IF($K15="",0,$K15))*IF($J15="",IF('COMPANY PROFILE'!$D$18="",0,'COMPANY PROFILE'!$D$18),$J15),2),0)</f>
        <v/>
      </c>
      <c r="Q15" s="129">
        <f>IFERROR(ROUND((IF($H15="",$G15,$H15)*$I15/60+IF($K15="",0,$K15))*IF($J15="",IF('COMPANY PROFILE'!$D$18="",0,'COMPANY PROFILE'!$D$18),$J15),2),0)</f>
        <v/>
      </c>
      <c r="R15" s="129">
        <f>IF($N15="ZDOLNOŚĆ",O15,0)</f>
        <v/>
      </c>
      <c r="S15" s="129">
        <f>IF($N15="ZDOLNOŚĆ",P15,0)</f>
        <v/>
      </c>
      <c r="T15" s="129">
        <f>IF($N15="ZDOLNOŚĆ",Q15,0)</f>
        <v/>
      </c>
      <c r="U15" s="129">
        <f>ROUND(IF($N15="GOTÓWKA",O15,0)+IF($L15="",0,$L15),2)</f>
        <v/>
      </c>
      <c r="V15" s="129">
        <f>ROUND(IF($N15="GOTÓWKA",P15,0)+IF($L15="",0,$L15),2)</f>
        <v/>
      </c>
      <c r="W15" s="129">
        <f>ROUND(IF($N15="GOTÓWKA",Q15,0)+IF($L15="",0,$L15),2)</f>
        <v/>
      </c>
    </row>
    <row r="16"/>
    <row r="17"/>
    <row r="18" ht="19.5" customHeight="1" s="95">
      <c r="A18" s="99" t="inlineStr">
        <is>
          <t xml:space="preserve">  FORMULA AND ASSUMPTIONS</t>
        </is>
      </c>
      <c r="B18" s="100" t="n"/>
      <c r="C18" s="100" t="n"/>
      <c r="D18" s="100" t="n"/>
      <c r="E18" s="100" t="n"/>
      <c r="F18" s="100" t="n"/>
      <c r="G18" s="100" t="n"/>
      <c r="H18" s="100" t="n"/>
      <c r="I18" s="100" t="n"/>
      <c r="J18" s="100" t="n"/>
      <c r="K18" s="100" t="n"/>
      <c r="L18" s="100" t="n"/>
      <c r="M18" s="100" t="n"/>
      <c r="N18" s="100" t="n"/>
      <c r="O18" s="100" t="n"/>
      <c r="P18" s="100" t="n"/>
      <c r="Q18" s="100" t="n"/>
      <c r="R18" s="100" t="n"/>
      <c r="S18" s="100" t="n"/>
      <c r="T18" s="100" t="n"/>
      <c r="U18" s="100" t="n"/>
      <c r="V18" s="100" t="n"/>
      <c r="W18" s="100" t="n"/>
    </row>
    <row r="19" ht="16.5" customHeight="1" s="95">
      <c r="A19" s="132" t="inlineStr">
        <is>
          <t>• Re-entry cost = number of records × minutes per record ÷ 60 × cost per person hour.</t>
        </is>
      </c>
    </row>
    <row r="20" ht="16.5" customHeight="1" s="95">
      <c r="A20" s="132" t="inlineStr">
        <is>
          <t>• We add hours for verification and arrangements separately - this is usually a larger part of the work than the actual entry.</t>
        </is>
      </c>
    </row>
    <row r="21" ht="16.5" customHeight="1" s="95">
      <c r="A21" s="132" t="inlineStr">
        <is>
          <t>• External replacement cost always goes to the CASH perspective.</t>
        </is>
      </c>
    </row>
    <row r="22" ht="16.5" customHeight="1" s="95">
      <c r="A22" s="132" t="inlineStr">
        <is>
          <t>• Copy reliability doesn't go into the numbers, it does go into the report: "untested copy" is management information in itself.</t>
        </is>
      </c>
    </row>
    <row r="23" ht="16.5" customHeight="1" s="95">
      <c r="A23" s="132" t="inlineStr">
        <is>
          <t>• RPO is not part of the maximum allowable downtime - it is a separate measure of data loss (NIST SP 800-34 Rev.1).</t>
        </is>
      </c>
    </row>
  </sheetData>
  <mergeCells count="7">
    <mergeCell ref="A3:H3"/>
    <mergeCell ref="A21:H21"/>
    <mergeCell ref="A20:H20"/>
    <mergeCell ref="A2:H2"/>
    <mergeCell ref="A19:H19"/>
    <mergeCell ref="A23:H23"/>
    <mergeCell ref="A22:H22"/>
  </mergeCells>
  <dataValidations count="3">
    <dataValidation sqref="M8:M15" showDropDown="0" showInputMessage="0" showErrorMessage="0" allowBlank="1" errorTitle="Wartość spoza listy" error="Wybierz wartość z listy." type="list" errorStyle="stop" operator="between">
      <formula1>'LISTY POMOCNICZE'!$O$8:$O$10</formula1>
      <formula2>0</formula2>
    </dataValidation>
    <dataValidation sqref="N8:N15" showDropDown="0" showInputMessage="0" showErrorMessage="0" allowBlank="1" errorTitle="Wartość spoza listy" error="Wybierz wartość z listy." type="list" errorStyle="stop" operator="between">
      <formula1>'LISTY POMOCNICZE'!$P$8:$P$9</formula1>
      <formula2>0</formula2>
    </dataValidation>
    <dataValidation sqref="B8:L15" showDropDown="0" showInputMessage="0" showErrorMessage="0" allowBlank="1" errorTitle="Wartość nieprawidłowa" error="Podaj liczbę nie mniejszą niż 0." type="decimal" errorStyle="stop" operator="greaterThanOrEqual">
      <formula1>0</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xl/worksheets/sheet9.xml><?xml version="1.0" encoding="utf-8"?>
<worksheet xmlns="http://schemas.openxmlformats.org/spreadsheetml/2006/main">
  <sheetPr filterMode="0">
    <tabColor rgb="FF0164FF"/>
    <outlinePr summaryBelow="1" summaryRight="1"/>
    <pageSetUpPr fitToPage="0"/>
  </sheetPr>
  <dimension ref="A1:P38"/>
  <sheetViews>
    <sheetView showFormulas="0" showGridLines="0" showRowColHeaders="1" showZeros="1" rightToLeft="0" tabSelected="0" showOutlineSymbols="1" defaultGridColor="1" view="normal" topLeftCell="A1" colorId="64" zoomScale="100" zoomScaleNormal="100" zoomScalePageLayoutView="100" workbookViewId="0">
      <pane xSplit="3" ySplit="8" topLeftCell="D9" activePane="bottomRight" state="frozen"/>
      <selection pane="topLeft" activeCell="A1" activeCellId="0" sqref="A1"/>
      <selection pane="topRight" activeCell="D1" activeCellId="0" sqref="D1"/>
      <selection pane="bottomLeft" activeCell="A9" activeCellId="0" sqref="A9"/>
      <selection pane="bottomRight" activeCell="A1" activeCellId="0" sqref="A1"/>
    </sheetView>
  </sheetViews>
  <sheetFormatPr baseColWidth="8" defaultColWidth="8.6796875" defaultRowHeight="15" customHeight="0" zeroHeight="0" outlineLevelRow="0"/>
  <cols>
    <col width="8" customWidth="1" style="94" min="1" max="1"/>
    <col width="11" customWidth="1" style="94" min="2" max="2"/>
    <col width="30" customWidth="1" style="94" min="3" max="3"/>
    <col width="42" customWidth="1" style="94" min="4" max="4"/>
    <col width="13" customWidth="1" style="94" min="5" max="5"/>
    <col width="14" customWidth="1" style="94" min="6" max="8"/>
    <col width="16" customWidth="1" style="94" min="9" max="9"/>
    <col width="18" customWidth="1" style="94" min="10" max="10"/>
    <col width="32" customWidth="1" style="94" min="11" max="11"/>
    <col width="14" customWidth="1" style="94" min="12" max="15"/>
    <col width="30" customWidth="1" style="94" min="16" max="16"/>
  </cols>
  <sheetData>
    <row r="1" ht="15" customHeight="1" s="95">
      <c r="A1" s="116" t="inlineStr">
        <is>
          <t>NexaIT</t>
        </is>
      </c>
    </row>
    <row r="2" ht="24" customHeight="1" s="95">
      <c r="A2" s="117" t="inlineStr">
        <is>
          <t>Customer, law and cyber incident</t>
        </is>
      </c>
    </row>
    <row r="3" ht="43.5" customHeight="1" s="95">
      <c r="A3" s="118" t="inlineStr">
        <is>
          <t>Optional module. Everything here is OFF by default. Conditional exposure enters the extended result only when you consciously enter the amount, probability and move the flag to YES.</t>
        </is>
      </c>
    </row>
    <row r="4" ht="30" customHeight="1" s="95">
      <c r="A4" s="138" t="inlineStr">
        <is>
          <t>This tool is not legal advice. It does not estimate the amount of administrative penalties and does not interpret regulations. You enter the amounts and probabilities yourself - preferably after talking to a lawyer, insurer or data protection officer.</t>
        </is>
      </c>
    </row>
    <row r="5" ht="40.5" customHeight="1" s="95">
      <c r="A5" s="107" t="inlineStr">
        <is>
          <t>Context of obligations (as of July 31, 2026, for self-verification): GDPR Art. 33 - reporting the breach to the supervisory authority without undue delay, if possible within 72 hours of its discovery, with staged reporting permitted; not every violation is reportable. The amendment to the KSC Act (implementation of NIS 2) is valid from April 3, 2026: registration of key and important entities until October 3, 2026, ISMS implementation until April 3, 2027, first audit until April 3, 2028.</t>
        </is>
      </c>
    </row>
    <row r="6"/>
    <row r="7" ht="19.5" customHeight="1" s="95">
      <c r="A7" s="99" t="inlineStr">
        <is>
          <t xml:space="preserve">  EXPOSURE REGISTER (30 items)</t>
        </is>
      </c>
      <c r="B7" s="100" t="n"/>
      <c r="C7" s="100" t="n"/>
      <c r="D7" s="100" t="n"/>
      <c r="E7" s="100" t="n"/>
      <c r="F7" s="100" t="n"/>
      <c r="G7" s="100" t="n"/>
      <c r="H7" s="100" t="n"/>
      <c r="I7" s="100" t="n"/>
      <c r="J7" s="100" t="n"/>
      <c r="K7" s="100" t="n"/>
      <c r="L7" s="100" t="n"/>
      <c r="M7" s="100" t="n"/>
      <c r="N7" s="100" t="n"/>
      <c r="O7" s="100" t="n"/>
      <c r="P7" s="100" t="n"/>
    </row>
    <row r="8" ht="42" customHeight="1" s="95">
      <c r="A8" s="119" t="inlineStr">
        <is>
          <t>id</t>
        </is>
      </c>
      <c r="B8" s="119" t="inlineStr">
        <is>
          <t>Scenario</t>
        </is>
      </c>
      <c r="C8" s="119" t="inlineStr">
        <is>
          <t>Area</t>
        </is>
      </c>
      <c r="D8" s="119" t="inlineStr">
        <is>
          <t>Item description</t>
        </is>
      </c>
      <c r="E8" s="119" t="inlineStr">
        <is>
          <t>Perspective</t>
        </is>
      </c>
      <c r="F8" s="119" t="inlineStr">
        <is>
          <t>Amount - Low</t>
        </is>
      </c>
      <c r="G8" s="119" t="inlineStr">
        <is>
          <t>Amount - Base</t>
        </is>
      </c>
      <c r="H8" s="119" t="inlineStr">
        <is>
          <t>Amount - High</t>
        </is>
      </c>
      <c r="I8" s="119" t="inlineStr">
        <is>
          <t>Probability</t>
        </is>
      </c>
      <c r="J8" s="119" t="inlineStr">
        <is>
          <t>Value class</t>
        </is>
      </c>
      <c r="K8" s="119" t="inlineStr">
        <is>
          <t>Source / basis (contract, policy, letter)</t>
        </is>
      </c>
      <c r="L8" s="119" t="inlineStr">
        <is>
          <t>Enters the score</t>
        </is>
      </c>
      <c r="M8" s="119" t="inlineStr">
        <is>
          <t>Result - Low</t>
        </is>
      </c>
      <c r="N8" s="119" t="inlineStr">
        <is>
          <t>Result - Baseline</t>
        </is>
      </c>
      <c r="O8" s="119" t="inlineStr">
        <is>
          <t>Score - High</t>
        </is>
      </c>
      <c r="P8" s="119" t="inlineStr">
        <is>
          <t>Memo</t>
        </is>
      </c>
    </row>
    <row r="9" ht="18" customHeight="1" s="95">
      <c r="A9" s="120" t="inlineStr">
        <is>
          <t>C01</t>
        </is>
      </c>
      <c r="B9" s="127" t="n"/>
      <c r="C9" s="127" t="inlineStr">
        <is>
          <t>Contractual penalties and SLA</t>
        </is>
      </c>
      <c r="D9" s="127" t="inlineStr">
        <is>
          <t>Liquidated damages from a specific contract - indicate the paragraph in the Source column</t>
        </is>
      </c>
      <c r="E9" s="127" t="inlineStr">
        <is>
          <t>WARUNKOWA</t>
        </is>
      </c>
      <c r="F9" s="126" t="n"/>
      <c r="G9" s="126" t="n"/>
      <c r="H9" s="126" t="n"/>
      <c r="I9" s="125" t="n"/>
      <c r="J9" s="127" t="inlineStr">
        <is>
          <t>ASSUMPTION</t>
        </is>
      </c>
      <c r="K9" s="127" t="n"/>
      <c r="L9" s="127" t="inlineStr">
        <is>
          <t>NIE</t>
        </is>
      </c>
      <c r="M9" s="129">
        <f>IF($L9&lt;&gt;"TAK",0,IF($J9="NIEPOLICZONE",0,IFERROR(ROUND(IF($F9="",$G9,$F9)*(IF($I9="",IF($E9="GOTÓWKA",1,0),$I9)),2),0)))</f>
        <v/>
      </c>
      <c r="N9" s="140">
        <f>IF($L9&lt;&gt;"TAK",0,IF($J9="NIEPOLICZONE",0,IFERROR(ROUND(IF($G9="",$G9,$G9)*(IF($I9="",IF($E9="GOTÓWKA",1,0),$I9)),2),0)))</f>
        <v/>
      </c>
      <c r="O9" s="129">
        <f>IF($L9&lt;&gt;"TAK",0,IF($J9="NIEPOLICZONE",0,IFERROR(ROUND(IF($H9="",$G9,$H9)*(IF($I9="",IF($E9="GOTÓWKA",1,0),$I9)),2),0)))</f>
        <v/>
      </c>
      <c r="P9" s="127" t="n"/>
    </row>
    <row r="10" ht="18" customHeight="1" s="95">
      <c r="A10" s="120" t="inlineStr">
        <is>
          <t>C02</t>
        </is>
      </c>
      <c r="B10" s="127" t="n"/>
      <c r="C10" s="127" t="inlineStr">
        <is>
          <t>Compensations, refunds, discounts</t>
        </is>
      </c>
      <c r="D10" s="127" t="inlineStr">
        <is>
          <t>Compensation agreed with client</t>
        </is>
      </c>
      <c r="E10" s="127" t="inlineStr">
        <is>
          <t>CASH</t>
        </is>
      </c>
      <c r="F10" s="126" t="n"/>
      <c r="G10" s="126" t="n"/>
      <c r="H10" s="126" t="n"/>
      <c r="I10" s="125" t="n"/>
      <c r="J10" s="127" t="inlineStr">
        <is>
          <t>ASSUMPTION</t>
        </is>
      </c>
      <c r="K10" s="127" t="n"/>
      <c r="L10" s="127" t="inlineStr">
        <is>
          <t>NIE</t>
        </is>
      </c>
      <c r="M10" s="129">
        <f>IF($L10&lt;&gt;"TAK",0,IF($J10="NIEPOLICZONE",0,IFERROR(ROUND(IF($F10="",$G10,$F10)*(IF($I10="",IF($E10="GOTÓWKA",1,0),$I10)),2),0)))</f>
        <v/>
      </c>
      <c r="N10" s="140">
        <f>IF($L10&lt;&gt;"TAK",0,IF($J10="NIEPOLICZONE",0,IFERROR(ROUND(IF($G10="",$G10,$G10)*(IF($I10="",IF($E10="GOTÓWKA",1,0),$I10)),2),0)))</f>
        <v/>
      </c>
      <c r="O10" s="129">
        <f>IF($L10&lt;&gt;"TAK",0,IF($J10="NIEPOLICZONE",0,IFERROR(ROUND(IF($H10="",$G10,$H10)*(IF($I10="",IF($E10="GOTÓWKA",1,0),$I10)),2),0)))</f>
        <v/>
      </c>
      <c r="P10" s="127" t="n"/>
    </row>
    <row r="11" ht="18" customHeight="1" s="95">
      <c r="A11" s="120" t="inlineStr">
        <is>
          <t>C03</t>
        </is>
      </c>
      <c r="B11" s="127" t="n"/>
      <c r="C11" s="127" t="inlineStr">
        <is>
          <t>Communication and additional support</t>
        </is>
      </c>
      <c r="D11" s="127" t="inlineStr">
        <is>
          <t>Handling inquiries and complaints beyond the norm</t>
        </is>
      </c>
      <c r="E11" s="127" t="inlineStr">
        <is>
          <t>CASH</t>
        </is>
      </c>
      <c r="F11" s="126" t="n"/>
      <c r="G11" s="126" t="n"/>
      <c r="H11" s="126" t="n"/>
      <c r="I11" s="125" t="n"/>
      <c r="J11" s="127" t="inlineStr">
        <is>
          <t>ASSUMPTION</t>
        </is>
      </c>
      <c r="K11" s="127" t="n"/>
      <c r="L11" s="127" t="inlineStr">
        <is>
          <t>NIE</t>
        </is>
      </c>
      <c r="M11" s="129">
        <f>IF($L11&lt;&gt;"TAK",0,IF($J11="NIEPOLICZONE",0,IFERROR(ROUND(IF($F11="",$G11,$F11)*(IF($I11="",IF($E11="GOTÓWKA",1,0),$I11)),2),0)))</f>
        <v/>
      </c>
      <c r="N11" s="140">
        <f>IF($L11&lt;&gt;"TAK",0,IF($J11="NIEPOLICZONE",0,IFERROR(ROUND(IF($G11="",$G11,$G11)*(IF($I11="",IF($E11="GOTÓWKA",1,0),$I11)),2),0)))</f>
        <v/>
      </c>
      <c r="O11" s="129">
        <f>IF($L11&lt;&gt;"TAK",0,IF($J11="NIEPOLICZONE",0,IFERROR(ROUND(IF($H11="",$G11,$H11)*(IF($I11="",IF($E11="GOTÓWKA",1,0),$I11)),2),0)))</f>
        <v/>
      </c>
      <c r="P11" s="127" t="n"/>
    </row>
    <row r="12" ht="18" customHeight="1" s="95">
      <c r="A12" s="120" t="inlineStr">
        <is>
          <t>C04</t>
        </is>
      </c>
      <c r="B12" s="127" t="n"/>
      <c r="C12" s="127" t="inlineStr">
        <is>
          <t>Data Breach Handling</t>
        </is>
      </c>
      <c r="D12" s="127" t="inlineStr">
        <is>
          <t>Analysis, notification to the Personal Data Protection Office, notification of persons</t>
        </is>
      </c>
      <c r="E12" s="127" t="inlineStr">
        <is>
          <t>CASH</t>
        </is>
      </c>
      <c r="F12" s="126" t="n"/>
      <c r="G12" s="126" t="n"/>
      <c r="H12" s="126" t="n"/>
      <c r="I12" s="125" t="n"/>
      <c r="J12" s="127" t="inlineStr">
        <is>
          <t>ASSUMPTION</t>
        </is>
      </c>
      <c r="K12" s="127" t="n"/>
      <c r="L12" s="127" t="inlineStr">
        <is>
          <t>NIE</t>
        </is>
      </c>
      <c r="M12" s="129">
        <f>IF($L12&lt;&gt;"TAK",0,IF($J12="NIEPOLICZONE",0,IFERROR(ROUND(IF($F12="",$G12,$F12)*(IF($I12="",IF($E12="GOTÓWKA",1,0),$I12)),2),0)))</f>
        <v/>
      </c>
      <c r="N12" s="140">
        <f>IF($L12&lt;&gt;"TAK",0,IF($J12="NIEPOLICZONE",0,IFERROR(ROUND(IF($G12="",$G12,$G12)*(IF($I12="",IF($E12="GOTÓWKA",1,0),$I12)),2),0)))</f>
        <v/>
      </c>
      <c r="O12" s="129">
        <f>IF($L12&lt;&gt;"TAK",0,IF($J12="NIEPOLICZONE",0,IFERROR(ROUND(IF($H12="",$G12,$H12)*(IF($I12="",IF($E12="GOTÓWKA",1,0),$I12)),2),0)))</f>
        <v/>
      </c>
      <c r="P12" s="127" t="n"/>
    </row>
    <row r="13" ht="18" customHeight="1" s="95">
      <c r="A13" s="120" t="inlineStr">
        <is>
          <t>C05</t>
        </is>
      </c>
      <c r="B13" s="127" t="n"/>
      <c r="C13" s="127" t="inlineStr">
        <is>
          <t>Data Breach Handling</t>
        </is>
      </c>
      <c r="D13" s="127" t="inlineStr">
        <is>
          <t>Legal support and data protection officer</t>
        </is>
      </c>
      <c r="E13" s="127" t="inlineStr">
        <is>
          <t>CASH</t>
        </is>
      </c>
      <c r="F13" s="126" t="n"/>
      <c r="G13" s="126" t="n"/>
      <c r="H13" s="126" t="n"/>
      <c r="I13" s="125" t="n"/>
      <c r="J13" s="127" t="inlineStr">
        <is>
          <t>ASSUMPTION</t>
        </is>
      </c>
      <c r="K13" s="127" t="n"/>
      <c r="L13" s="127" t="inlineStr">
        <is>
          <t>NIE</t>
        </is>
      </c>
      <c r="M13" s="129">
        <f>IF($L13&lt;&gt;"TAK",0,IF($J13="NIEPOLICZONE",0,IFERROR(ROUND(IF($F13="",$G13,$F13)*(IF($I13="",IF($E13="GOTÓWKA",1,0),$I13)),2),0)))</f>
        <v/>
      </c>
      <c r="N13" s="140">
        <f>IF($L13&lt;&gt;"TAK",0,IF($J13="NIEPOLICZONE",0,IFERROR(ROUND(IF($G13="",$G13,$G13)*(IF($I13="",IF($E13="GOTÓWKA",1,0),$I13)),2),0)))</f>
        <v/>
      </c>
      <c r="O13" s="129">
        <f>IF($L13&lt;&gt;"TAK",0,IF($J13="NIEPOLICZONE",0,IFERROR(ROUND(IF($H13="",$G13,$H13)*(IF($I13="",IF($E13="GOTÓWKA",1,0),$I13)),2),0)))</f>
        <v/>
      </c>
      <c r="P13" s="127" t="n"/>
    </row>
    <row r="14" ht="18" customHeight="1" s="95">
      <c r="A14" s="120" t="inlineStr">
        <is>
          <t>C06</t>
        </is>
      </c>
      <c r="B14" s="127" t="n"/>
      <c r="C14" s="127" t="inlineStr">
        <is>
          <t>Regulatory Obligations - Service Cost</t>
        </is>
      </c>
      <c r="D14" s="127" t="inlineStr">
        <is>
          <t>Support for sector duties (e.g. KSC / NIS 2)</t>
        </is>
      </c>
      <c r="E14" s="127" t="inlineStr">
        <is>
          <t>CASH</t>
        </is>
      </c>
      <c r="F14" s="126" t="n"/>
      <c r="G14" s="126" t="n"/>
      <c r="H14" s="126" t="n"/>
      <c r="I14" s="125" t="n"/>
      <c r="J14" s="127" t="inlineStr">
        <is>
          <t>ASSUMPTION</t>
        </is>
      </c>
      <c r="K14" s="127" t="n"/>
      <c r="L14" s="127" t="inlineStr">
        <is>
          <t>NIE</t>
        </is>
      </c>
      <c r="M14" s="129">
        <f>IF($L14&lt;&gt;"TAK",0,IF($J14="NIEPOLICZONE",0,IFERROR(ROUND(IF($F14="",$G14,$F14)*(IF($I14="",IF($E14="GOTÓWKA",1,0),$I14)),2),0)))</f>
        <v/>
      </c>
      <c r="N14" s="140">
        <f>IF($L14&lt;&gt;"TAK",0,IF($J14="NIEPOLICZONE",0,IFERROR(ROUND(IF($G14="",$G14,$G14)*(IF($I14="",IF($E14="GOTÓWKA",1,0),$I14)),2),0)))</f>
        <v/>
      </c>
      <c r="O14" s="129">
        <f>IF($L14&lt;&gt;"TAK",0,IF($J14="NIEPOLICZONE",0,IFERROR(ROUND(IF($H14="",$G14,$H14)*(IF($I14="",IF($E14="GOTÓWKA",1,0),$I14)),2),0)))</f>
        <v/>
      </c>
      <c r="P14" s="127" t="n"/>
    </row>
    <row r="15" ht="18" customHeight="1" s="95">
      <c r="A15" s="120" t="inlineStr">
        <is>
          <t>C07</t>
        </is>
      </c>
      <c r="B15" s="127" t="n"/>
      <c r="C15" s="127" t="inlineStr">
        <is>
          <t>Regulatory Obligations - Service Cost</t>
        </is>
      </c>
      <c r="D15" s="127" t="inlineStr">
        <is>
          <t>Possible administrative penalty - only after legal consultation, never automatically</t>
        </is>
      </c>
      <c r="E15" s="127" t="inlineStr">
        <is>
          <t>WARUNKOWA</t>
        </is>
      </c>
      <c r="F15" s="126" t="n"/>
      <c r="G15" s="126" t="n"/>
      <c r="H15" s="126" t="n"/>
      <c r="I15" s="125" t="n"/>
      <c r="J15" s="127" t="inlineStr">
        <is>
          <t>ASSUMPTION</t>
        </is>
      </c>
      <c r="K15" s="127" t="n"/>
      <c r="L15" s="127" t="inlineStr">
        <is>
          <t>NIE</t>
        </is>
      </c>
      <c r="M15" s="129">
        <f>IF($L15&lt;&gt;"TAK",0,IF($J15="NIEPOLICZONE",0,IFERROR(ROUND(IF($F15="",$G15,$F15)*(IF($I15="",IF($E15="GOTÓWKA",1,0),$I15)),2),0)))</f>
        <v/>
      </c>
      <c r="N15" s="140">
        <f>IF($L15&lt;&gt;"TAK",0,IF($J15="NIEPOLICZONE",0,IFERROR(ROUND(IF($G15="",$G15,$G15)*(IF($I15="",IF($E15="GOTÓWKA",1,0),$I15)),2),0)))</f>
        <v/>
      </c>
      <c r="O15" s="129">
        <f>IF($L15&lt;&gt;"TAK",0,IF($J15="NIEPOLICZONE",0,IFERROR(ROUND(IF($H15="",$G15,$H15)*(IF($I15="",IF($E15="GOTÓWKA",1,0),$I15)),2),0)))</f>
        <v/>
      </c>
      <c r="P15" s="127" t="n"/>
    </row>
    <row r="16" ht="18" customHeight="1" s="95">
      <c r="A16" s="120" t="inlineStr">
        <is>
          <t>C08</t>
        </is>
      </c>
      <c r="B16" s="127" t="n"/>
      <c r="C16" s="127" t="inlineStr">
        <is>
          <t>Risk of customer churn</t>
        </is>
      </c>
      <c r="D16" s="127" t="inlineStr">
        <is>
          <t>Annual customer margin × increase in churn probability</t>
        </is>
      </c>
      <c r="E16" s="127" t="inlineStr">
        <is>
          <t>WARUNKOWA</t>
        </is>
      </c>
      <c r="F16" s="126" t="n"/>
      <c r="G16" s="126" t="n"/>
      <c r="H16" s="126" t="n"/>
      <c r="I16" s="125" t="n"/>
      <c r="J16" s="127" t="inlineStr">
        <is>
          <t>ASSUMPTION</t>
        </is>
      </c>
      <c r="K16" s="127" t="n"/>
      <c r="L16" s="127" t="inlineStr">
        <is>
          <t>NIE</t>
        </is>
      </c>
      <c r="M16" s="129">
        <f>IF($L16&lt;&gt;"TAK",0,IF($J16="NIEPOLICZONE",0,IFERROR(ROUND(IF($F16="",$G16,$F16)*(IF($I16="",IF($E16="GOTÓWKA",1,0),$I16)),2),0)))</f>
        <v/>
      </c>
      <c r="N16" s="140">
        <f>IF($L16&lt;&gt;"TAK",0,IF($J16="NIEPOLICZONE",0,IFERROR(ROUND(IF($G16="",$G16,$G16)*(IF($I16="",IF($E16="GOTÓWKA",1,0),$I16)),2),0)))</f>
        <v/>
      </c>
      <c r="O16" s="129">
        <f>IF($L16&lt;&gt;"TAK",0,IF($J16="NIEPOLICZONE",0,IFERROR(ROUND(IF($H16="",$G16,$H16)*(IF($I16="",IF($E16="GOTÓWKA",1,0),$I16)),2),0)))</f>
        <v/>
      </c>
      <c r="P16" s="127" t="n"/>
    </row>
    <row r="17" ht="18" customHeight="1" s="95">
      <c r="A17" s="120" t="inlineStr">
        <is>
          <t>C09</t>
        </is>
      </c>
      <c r="B17" s="127" t="n"/>
      <c r="C17" s="127" t="inlineStr">
        <is>
          <t>Lost contract or tender</t>
        </is>
      </c>
      <c r="D17" s="127" t="inlineStr">
        <is>
          <t>Contract margin × probability of loss</t>
        </is>
      </c>
      <c r="E17" s="127" t="inlineStr">
        <is>
          <t>WARUNKOWA</t>
        </is>
      </c>
      <c r="F17" s="126" t="n"/>
      <c r="G17" s="126" t="n"/>
      <c r="H17" s="126" t="n"/>
      <c r="I17" s="125" t="n"/>
      <c r="J17" s="127" t="inlineStr">
        <is>
          <t>ASSUMPTION</t>
        </is>
      </c>
      <c r="K17" s="127" t="n"/>
      <c r="L17" s="127" t="inlineStr">
        <is>
          <t>NIE</t>
        </is>
      </c>
      <c r="M17" s="129">
        <f>IF($L17&lt;&gt;"TAK",0,IF($J17="NIEPOLICZONE",0,IFERROR(ROUND(IF($F17="",$G17,$F17)*(IF($I17="",IF($E17="GOTÓWKA",1,0),$I17)),2),0)))</f>
        <v/>
      </c>
      <c r="N17" s="140">
        <f>IF($L17&lt;&gt;"TAK",0,IF($J17="NIEPOLICZONE",0,IFERROR(ROUND(IF($G17="",$G17,$G17)*(IF($I17="",IF($E17="GOTÓWKA",1,0),$I17)),2),0)))</f>
        <v/>
      </c>
      <c r="O17" s="129">
        <f>IF($L17&lt;&gt;"TAK",0,IF($J17="NIEPOLICZONE",0,IFERROR(ROUND(IF($H17="",$G17,$H17)*(IF($I17="",IF($E17="GOTÓWKA",1,0),$I17)),2),0)))</f>
        <v/>
      </c>
      <c r="P17" s="127" t="n"/>
    </row>
    <row r="18" ht="18" customHeight="1" s="95">
      <c r="A18" s="120" t="inlineStr">
        <is>
          <t>C10</t>
        </is>
      </c>
      <c r="B18" s="127" t="n"/>
      <c r="C18" s="127" t="inlineStr">
        <is>
          <t>Ransomware - Ransom (Manual Only)</t>
        </is>
      </c>
      <c r="D18" s="127" t="inlineStr">
        <is>
          <t>NexaIT does not recommend ransom payment. This item is for informed, legally verified analysis only.</t>
        </is>
      </c>
      <c r="E18" s="127" t="inlineStr">
        <is>
          <t>WARUNKOWA</t>
        </is>
      </c>
      <c r="F18" s="126" t="n"/>
      <c r="G18" s="126" t="n"/>
      <c r="H18" s="126" t="n"/>
      <c r="I18" s="125" t="n"/>
      <c r="J18" s="127" t="inlineStr">
        <is>
          <t>ASSUMPTION</t>
        </is>
      </c>
      <c r="K18" s="127" t="n"/>
      <c r="L18" s="127" t="inlineStr">
        <is>
          <t>NIE</t>
        </is>
      </c>
      <c r="M18" s="129">
        <f>IF($L18&lt;&gt;"TAK",0,IF($J18="NIEPOLICZONE",0,IFERROR(ROUND(IF($F18="",$G18,$F18)*(IF($I18="",IF($E18="GOTÓWKA",1,0),$I18)),2),0)))</f>
        <v/>
      </c>
      <c r="N18" s="140">
        <f>IF($L18&lt;&gt;"TAK",0,IF($J18="NIEPOLICZONE",0,IFERROR(ROUND(IF($G18="",$G18,$G18)*(IF($I18="",IF($E18="GOTÓWKA",1,0),$I18)),2),0)))</f>
        <v/>
      </c>
      <c r="O18" s="129">
        <f>IF($L18&lt;&gt;"TAK",0,IF($J18="NIEPOLICZONE",0,IFERROR(ROUND(IF($H18="",$G18,$H18)*(IF($I18="",IF($E18="GOTÓWKA",1,0),$I18)),2),0)))</f>
        <v/>
      </c>
      <c r="P18" s="127" t="n"/>
    </row>
    <row r="19" ht="18" customHeight="1" s="95">
      <c r="A19" s="120" t="inlineStr">
        <is>
          <t>C11</t>
        </is>
      </c>
      <c r="B19" s="127" t="n"/>
      <c r="C19" s="127" t="n"/>
      <c r="D19" s="127" t="n"/>
      <c r="E19" s="127" t="n"/>
      <c r="F19" s="126" t="n"/>
      <c r="G19" s="126" t="n"/>
      <c r="H19" s="126" t="n"/>
      <c r="I19" s="125" t="n"/>
      <c r="J19" s="127" t="n"/>
      <c r="K19" s="127" t="n"/>
      <c r="L19" s="127" t="n"/>
      <c r="M19" s="129">
        <f>IF($L19&lt;&gt;"TAK",0,IF($J19="NIEPOLICZONE",0,IFERROR(ROUND(IF($F19="",$G19,$F19)*(IF($I19="",IF($E19="GOTÓWKA",1,0),$I19)),2),0)))</f>
        <v/>
      </c>
      <c r="N19" s="140">
        <f>IF($L19&lt;&gt;"TAK",0,IF($J19="NIEPOLICZONE",0,IFERROR(ROUND(IF($G19="",$G19,$G19)*(IF($I19="",IF($E19="GOTÓWKA",1,0),$I19)),2),0)))</f>
        <v/>
      </c>
      <c r="O19" s="129">
        <f>IF($L19&lt;&gt;"TAK",0,IF($J19="NIEPOLICZONE",0,IFERROR(ROUND(IF($H19="",$G19,$H19)*(IF($I19="",IF($E19="GOTÓWKA",1,0),$I19)),2),0)))</f>
        <v/>
      </c>
      <c r="P19" s="127" t="n"/>
    </row>
    <row r="20" ht="18" customHeight="1" s="95">
      <c r="A20" s="120" t="inlineStr">
        <is>
          <t>C12</t>
        </is>
      </c>
      <c r="B20" s="127" t="n"/>
      <c r="C20" s="127" t="n"/>
      <c r="D20" s="127" t="n"/>
      <c r="E20" s="127" t="n"/>
      <c r="F20" s="126" t="n"/>
      <c r="G20" s="126" t="n"/>
      <c r="H20" s="126" t="n"/>
      <c r="I20" s="125" t="n"/>
      <c r="J20" s="127" t="n"/>
      <c r="K20" s="127" t="n"/>
      <c r="L20" s="127" t="n"/>
      <c r="M20" s="129">
        <f>IF($L20&lt;&gt;"TAK",0,IF($J20="NIEPOLICZONE",0,IFERROR(ROUND(IF($F20="",$G20,$F20)*(IF($I20="",IF($E20="GOTÓWKA",1,0),$I20)),2),0)))</f>
        <v/>
      </c>
      <c r="N20" s="140">
        <f>IF($L20&lt;&gt;"TAK",0,IF($J20="NIEPOLICZONE",0,IFERROR(ROUND(IF($G20="",$G20,$G20)*(IF($I20="",IF($E20="GOTÓWKA",1,0),$I20)),2),0)))</f>
        <v/>
      </c>
      <c r="O20" s="129">
        <f>IF($L20&lt;&gt;"TAK",0,IF($J20="NIEPOLICZONE",0,IFERROR(ROUND(IF($H20="",$G20,$H20)*(IF($I20="",IF($E20="GOTÓWKA",1,0),$I20)),2),0)))</f>
        <v/>
      </c>
      <c r="P20" s="127" t="n"/>
    </row>
    <row r="21" ht="18" customHeight="1" s="95">
      <c r="A21" s="120" t="inlineStr">
        <is>
          <t>C13</t>
        </is>
      </c>
      <c r="B21" s="127" t="n"/>
      <c r="C21" s="127" t="n"/>
      <c r="D21" s="127" t="n"/>
      <c r="E21" s="127" t="n"/>
      <c r="F21" s="126" t="n"/>
      <c r="G21" s="126" t="n"/>
      <c r="H21" s="126" t="n"/>
      <c r="I21" s="125" t="n"/>
      <c r="J21" s="127" t="n"/>
      <c r="K21" s="127" t="n"/>
      <c r="L21" s="127" t="n"/>
      <c r="M21" s="129">
        <f>IF($L21&lt;&gt;"TAK",0,IF($J21="NIEPOLICZONE",0,IFERROR(ROUND(IF($F21="",$G21,$F21)*(IF($I21="",IF($E21="GOTÓWKA",1,0),$I21)),2),0)))</f>
        <v/>
      </c>
      <c r="N21" s="140">
        <f>IF($L21&lt;&gt;"TAK",0,IF($J21="NIEPOLICZONE",0,IFERROR(ROUND(IF($G21="",$G21,$G21)*(IF($I21="",IF($E21="GOTÓWKA",1,0),$I21)),2),0)))</f>
        <v/>
      </c>
      <c r="O21" s="129">
        <f>IF($L21&lt;&gt;"TAK",0,IF($J21="NIEPOLICZONE",0,IFERROR(ROUND(IF($H21="",$G21,$H21)*(IF($I21="",IF($E21="GOTÓWKA",1,0),$I21)),2),0)))</f>
        <v/>
      </c>
      <c r="P21" s="127" t="n"/>
    </row>
    <row r="22" ht="18" customHeight="1" s="95">
      <c r="A22" s="120" t="inlineStr">
        <is>
          <t>C14</t>
        </is>
      </c>
      <c r="B22" s="127" t="n"/>
      <c r="C22" s="127" t="n"/>
      <c r="D22" s="127" t="n"/>
      <c r="E22" s="127" t="n"/>
      <c r="F22" s="126" t="n"/>
      <c r="G22" s="126" t="n"/>
      <c r="H22" s="126" t="n"/>
      <c r="I22" s="125" t="n"/>
      <c r="J22" s="127" t="n"/>
      <c r="K22" s="127" t="n"/>
      <c r="L22" s="127" t="n"/>
      <c r="M22" s="129">
        <f>IF($L22&lt;&gt;"TAK",0,IF($J22="NIEPOLICZONE",0,IFERROR(ROUND(IF($F22="",$G22,$F22)*(IF($I22="",IF($E22="GOTÓWKA",1,0),$I22)),2),0)))</f>
        <v/>
      </c>
      <c r="N22" s="140">
        <f>IF($L22&lt;&gt;"TAK",0,IF($J22="NIEPOLICZONE",0,IFERROR(ROUND(IF($G22="",$G22,$G22)*(IF($I22="",IF($E22="GOTÓWKA",1,0),$I22)),2),0)))</f>
        <v/>
      </c>
      <c r="O22" s="129">
        <f>IF($L22&lt;&gt;"TAK",0,IF($J22="NIEPOLICZONE",0,IFERROR(ROUND(IF($H22="",$G22,$H22)*(IF($I22="",IF($E22="GOTÓWKA",1,0),$I22)),2),0)))</f>
        <v/>
      </c>
      <c r="P22" s="127" t="n"/>
    </row>
    <row r="23" ht="18" customHeight="1" s="95">
      <c r="A23" s="120" t="inlineStr">
        <is>
          <t>C15</t>
        </is>
      </c>
      <c r="B23" s="127" t="n"/>
      <c r="C23" s="127" t="n"/>
      <c r="D23" s="127" t="n"/>
      <c r="E23" s="127" t="n"/>
      <c r="F23" s="126" t="n"/>
      <c r="G23" s="126" t="n"/>
      <c r="H23" s="126" t="n"/>
      <c r="I23" s="125" t="n"/>
      <c r="J23" s="127" t="n"/>
      <c r="K23" s="127" t="n"/>
      <c r="L23" s="127" t="n"/>
      <c r="M23" s="129">
        <f>IF($L23&lt;&gt;"TAK",0,IF($J23="NIEPOLICZONE",0,IFERROR(ROUND(IF($F23="",$G23,$F23)*(IF($I23="",IF($E23="GOTÓWKA",1,0),$I23)),2),0)))</f>
        <v/>
      </c>
      <c r="N23" s="140">
        <f>IF($L23&lt;&gt;"TAK",0,IF($J23="NIEPOLICZONE",0,IFERROR(ROUND(IF($G23="",$G23,$G23)*(IF($I23="",IF($E23="GOTÓWKA",1,0),$I23)),2),0)))</f>
        <v/>
      </c>
      <c r="O23" s="129">
        <f>IF($L23&lt;&gt;"TAK",0,IF($J23="NIEPOLICZONE",0,IFERROR(ROUND(IF($H23="",$G23,$H23)*(IF($I23="",IF($E23="GOTÓWKA",1,0),$I23)),2),0)))</f>
        <v/>
      </c>
      <c r="P23" s="127" t="n"/>
    </row>
    <row r="24" ht="18" customHeight="1" s="95">
      <c r="A24" s="120" t="inlineStr">
        <is>
          <t>C16</t>
        </is>
      </c>
      <c r="B24" s="127" t="n"/>
      <c r="C24" s="127" t="n"/>
      <c r="D24" s="127" t="n"/>
      <c r="E24" s="127" t="n"/>
      <c r="F24" s="126" t="n"/>
      <c r="G24" s="126" t="n"/>
      <c r="H24" s="126" t="n"/>
      <c r="I24" s="125" t="n"/>
      <c r="J24" s="127" t="n"/>
      <c r="K24" s="127" t="n"/>
      <c r="L24" s="127" t="n"/>
      <c r="M24" s="129">
        <f>IF($L24&lt;&gt;"TAK",0,IF($J24="NIEPOLICZONE",0,IFERROR(ROUND(IF($F24="",$G24,$F24)*(IF($I24="",IF($E24="GOTÓWKA",1,0),$I24)),2),0)))</f>
        <v/>
      </c>
      <c r="N24" s="140">
        <f>IF($L24&lt;&gt;"TAK",0,IF($J24="NIEPOLICZONE",0,IFERROR(ROUND(IF($G24="",$G24,$G24)*(IF($I24="",IF($E24="GOTÓWKA",1,0),$I24)),2),0)))</f>
        <v/>
      </c>
      <c r="O24" s="129">
        <f>IF($L24&lt;&gt;"TAK",0,IF($J24="NIEPOLICZONE",0,IFERROR(ROUND(IF($H24="",$G24,$H24)*(IF($I24="",IF($E24="GOTÓWKA",1,0),$I24)),2),0)))</f>
        <v/>
      </c>
      <c r="P24" s="127" t="n"/>
    </row>
    <row r="25" ht="18" customHeight="1" s="95">
      <c r="A25" s="120" t="inlineStr">
        <is>
          <t>C17</t>
        </is>
      </c>
      <c r="B25" s="127" t="n"/>
      <c r="C25" s="127" t="n"/>
      <c r="D25" s="127" t="n"/>
      <c r="E25" s="127" t="n"/>
      <c r="F25" s="126" t="n"/>
      <c r="G25" s="126" t="n"/>
      <c r="H25" s="126" t="n"/>
      <c r="I25" s="125" t="n"/>
      <c r="J25" s="127" t="n"/>
      <c r="K25" s="127" t="n"/>
      <c r="L25" s="127" t="n"/>
      <c r="M25" s="129">
        <f>IF($L25&lt;&gt;"TAK",0,IF($J25="NIEPOLICZONE",0,IFERROR(ROUND(IF($F25="",$G25,$F25)*(IF($I25="",IF($E25="GOTÓWKA",1,0),$I25)),2),0)))</f>
        <v/>
      </c>
      <c r="N25" s="140">
        <f>IF($L25&lt;&gt;"TAK",0,IF($J25="NIEPOLICZONE",0,IFERROR(ROUND(IF($G25="",$G25,$G25)*(IF($I25="",IF($E25="GOTÓWKA",1,0),$I25)),2),0)))</f>
        <v/>
      </c>
      <c r="O25" s="129">
        <f>IF($L25&lt;&gt;"TAK",0,IF($J25="NIEPOLICZONE",0,IFERROR(ROUND(IF($H25="",$G25,$H25)*(IF($I25="",IF($E25="GOTÓWKA",1,0),$I25)),2),0)))</f>
        <v/>
      </c>
      <c r="P25" s="127" t="n"/>
    </row>
    <row r="26" ht="18" customHeight="1" s="95">
      <c r="A26" s="120" t="inlineStr">
        <is>
          <t>C18</t>
        </is>
      </c>
      <c r="B26" s="127" t="n"/>
      <c r="C26" s="127" t="n"/>
      <c r="D26" s="127" t="n"/>
      <c r="E26" s="127" t="n"/>
      <c r="F26" s="126" t="n"/>
      <c r="G26" s="126" t="n"/>
      <c r="H26" s="126" t="n"/>
      <c r="I26" s="125" t="n"/>
      <c r="J26" s="127" t="n"/>
      <c r="K26" s="127" t="n"/>
      <c r="L26" s="127" t="n"/>
      <c r="M26" s="129">
        <f>IF($L26&lt;&gt;"TAK",0,IF($J26="NIEPOLICZONE",0,IFERROR(ROUND(IF($F26="",$G26,$F26)*(IF($I26="",IF($E26="GOTÓWKA",1,0),$I26)),2),0)))</f>
        <v/>
      </c>
      <c r="N26" s="140">
        <f>IF($L26&lt;&gt;"TAK",0,IF($J26="NIEPOLICZONE",0,IFERROR(ROUND(IF($G26="",$G26,$G26)*(IF($I26="",IF($E26="GOTÓWKA",1,0),$I26)),2),0)))</f>
        <v/>
      </c>
      <c r="O26" s="129">
        <f>IF($L26&lt;&gt;"TAK",0,IF($J26="NIEPOLICZONE",0,IFERROR(ROUND(IF($H26="",$G26,$H26)*(IF($I26="",IF($E26="GOTÓWKA",1,0),$I26)),2),0)))</f>
        <v/>
      </c>
      <c r="P26" s="127" t="n"/>
    </row>
    <row r="27" ht="18" customHeight="1" s="95">
      <c r="A27" s="120" t="inlineStr">
        <is>
          <t>C19</t>
        </is>
      </c>
      <c r="B27" s="127" t="n"/>
      <c r="C27" s="127" t="n"/>
      <c r="D27" s="127" t="n"/>
      <c r="E27" s="127" t="n"/>
      <c r="F27" s="126" t="n"/>
      <c r="G27" s="126" t="n"/>
      <c r="H27" s="126" t="n"/>
      <c r="I27" s="125" t="n"/>
      <c r="J27" s="127" t="n"/>
      <c r="K27" s="127" t="n"/>
      <c r="L27" s="127" t="n"/>
      <c r="M27" s="129">
        <f>IF($L27&lt;&gt;"TAK",0,IF($J27="NIEPOLICZONE",0,IFERROR(ROUND(IF($F27="",$G27,$F27)*(IF($I27="",IF($E27="GOTÓWKA",1,0),$I27)),2),0)))</f>
        <v/>
      </c>
      <c r="N27" s="140">
        <f>IF($L27&lt;&gt;"TAK",0,IF($J27="NIEPOLICZONE",0,IFERROR(ROUND(IF($G27="",$G27,$G27)*(IF($I27="",IF($E27="GOTÓWKA",1,0),$I27)),2),0)))</f>
        <v/>
      </c>
      <c r="O27" s="129">
        <f>IF($L27&lt;&gt;"TAK",0,IF($J27="NIEPOLICZONE",0,IFERROR(ROUND(IF($H27="",$G27,$H27)*(IF($I27="",IF($E27="GOTÓWKA",1,0),$I27)),2),0)))</f>
        <v/>
      </c>
      <c r="P27" s="127" t="n"/>
    </row>
    <row r="28" ht="18" customHeight="1" s="95">
      <c r="A28" s="120" t="inlineStr">
        <is>
          <t>C20</t>
        </is>
      </c>
      <c r="B28" s="127" t="n"/>
      <c r="C28" s="127" t="n"/>
      <c r="D28" s="127" t="n"/>
      <c r="E28" s="127" t="n"/>
      <c r="F28" s="126" t="n"/>
      <c r="G28" s="126" t="n"/>
      <c r="H28" s="126" t="n"/>
      <c r="I28" s="125" t="n"/>
      <c r="J28" s="127" t="n"/>
      <c r="K28" s="127" t="n"/>
      <c r="L28" s="127" t="n"/>
      <c r="M28" s="129">
        <f>IF($L28&lt;&gt;"TAK",0,IF($J28="NIEPOLICZONE",0,IFERROR(ROUND(IF($F28="",$G28,$F28)*(IF($I28="",IF($E28="GOTÓWKA",1,0),$I28)),2),0)))</f>
        <v/>
      </c>
      <c r="N28" s="140">
        <f>IF($L28&lt;&gt;"TAK",0,IF($J28="NIEPOLICZONE",0,IFERROR(ROUND(IF($G28="",$G28,$G28)*(IF($I28="",IF($E28="GOTÓWKA",1,0),$I28)),2),0)))</f>
        <v/>
      </c>
      <c r="O28" s="129">
        <f>IF($L28&lt;&gt;"TAK",0,IF($J28="NIEPOLICZONE",0,IFERROR(ROUND(IF($H28="",$G28,$H28)*(IF($I28="",IF($E28="GOTÓWKA",1,0),$I28)),2),0)))</f>
        <v/>
      </c>
      <c r="P28" s="127" t="n"/>
    </row>
    <row r="29" ht="18" customHeight="1" s="95">
      <c r="A29" s="120" t="inlineStr">
        <is>
          <t>C21</t>
        </is>
      </c>
      <c r="B29" s="127" t="n"/>
      <c r="C29" s="127" t="n"/>
      <c r="D29" s="127" t="n"/>
      <c r="E29" s="127" t="n"/>
      <c r="F29" s="126" t="n"/>
      <c r="G29" s="126" t="n"/>
      <c r="H29" s="126" t="n"/>
      <c r="I29" s="125" t="n"/>
      <c r="J29" s="127" t="n"/>
      <c r="K29" s="127" t="n"/>
      <c r="L29" s="127" t="n"/>
      <c r="M29" s="129">
        <f>IF($L29&lt;&gt;"TAK",0,IF($J29="NIEPOLICZONE",0,IFERROR(ROUND(IF($F29="",$G29,$F29)*(IF($I29="",IF($E29="GOTÓWKA",1,0),$I29)),2),0)))</f>
        <v/>
      </c>
      <c r="N29" s="140">
        <f>IF($L29&lt;&gt;"TAK",0,IF($J29="NIEPOLICZONE",0,IFERROR(ROUND(IF($G29="",$G29,$G29)*(IF($I29="",IF($E29="GOTÓWKA",1,0),$I29)),2),0)))</f>
        <v/>
      </c>
      <c r="O29" s="129">
        <f>IF($L29&lt;&gt;"TAK",0,IF($J29="NIEPOLICZONE",0,IFERROR(ROUND(IF($H29="",$G29,$H29)*(IF($I29="",IF($E29="GOTÓWKA",1,0),$I29)),2),0)))</f>
        <v/>
      </c>
      <c r="P29" s="127" t="n"/>
    </row>
    <row r="30" ht="18" customHeight="1" s="95">
      <c r="A30" s="120" t="inlineStr">
        <is>
          <t>C22</t>
        </is>
      </c>
      <c r="B30" s="127" t="n"/>
      <c r="C30" s="127" t="n"/>
      <c r="D30" s="127" t="n"/>
      <c r="E30" s="127" t="n"/>
      <c r="F30" s="126" t="n"/>
      <c r="G30" s="126" t="n"/>
      <c r="H30" s="126" t="n"/>
      <c r="I30" s="125" t="n"/>
      <c r="J30" s="127" t="n"/>
      <c r="K30" s="127" t="n"/>
      <c r="L30" s="127" t="n"/>
      <c r="M30" s="129">
        <f>IF($L30&lt;&gt;"TAK",0,IF($J30="NIEPOLICZONE",0,IFERROR(ROUND(IF($F30="",$G30,$F30)*(IF($I30="",IF($E30="GOTÓWKA",1,0),$I30)),2),0)))</f>
        <v/>
      </c>
      <c r="N30" s="140">
        <f>IF($L30&lt;&gt;"TAK",0,IF($J30="NIEPOLICZONE",0,IFERROR(ROUND(IF($G30="",$G30,$G30)*(IF($I30="",IF($E30="GOTÓWKA",1,0),$I30)),2),0)))</f>
        <v/>
      </c>
      <c r="O30" s="129">
        <f>IF($L30&lt;&gt;"TAK",0,IF($J30="NIEPOLICZONE",0,IFERROR(ROUND(IF($H30="",$G30,$H30)*(IF($I30="",IF($E30="GOTÓWKA",1,0),$I30)),2),0)))</f>
        <v/>
      </c>
      <c r="P30" s="127" t="n"/>
    </row>
    <row r="31" ht="18" customHeight="1" s="95">
      <c r="A31" s="120" t="inlineStr">
        <is>
          <t>C23</t>
        </is>
      </c>
      <c r="B31" s="127" t="n"/>
      <c r="C31" s="127" t="n"/>
      <c r="D31" s="127" t="n"/>
      <c r="E31" s="127" t="n"/>
      <c r="F31" s="126" t="n"/>
      <c r="G31" s="126" t="n"/>
      <c r="H31" s="126" t="n"/>
      <c r="I31" s="125" t="n"/>
      <c r="J31" s="127" t="n"/>
      <c r="K31" s="127" t="n"/>
      <c r="L31" s="127" t="n"/>
      <c r="M31" s="129">
        <f>IF($L31&lt;&gt;"TAK",0,IF($J31="NIEPOLICZONE",0,IFERROR(ROUND(IF($F31="",$G31,$F31)*(IF($I31="",IF($E31="GOTÓWKA",1,0),$I31)),2),0)))</f>
        <v/>
      </c>
      <c r="N31" s="140">
        <f>IF($L31&lt;&gt;"TAK",0,IF($J31="NIEPOLICZONE",0,IFERROR(ROUND(IF($G31="",$G31,$G31)*(IF($I31="",IF($E31="GOTÓWKA",1,0),$I31)),2),0)))</f>
        <v/>
      </c>
      <c r="O31" s="129">
        <f>IF($L31&lt;&gt;"TAK",0,IF($J31="NIEPOLICZONE",0,IFERROR(ROUND(IF($H31="",$G31,$H31)*(IF($I31="",IF($E31="GOTÓWKA",1,0),$I31)),2),0)))</f>
        <v/>
      </c>
      <c r="P31" s="127" t="n"/>
    </row>
    <row r="32" ht="18" customHeight="1" s="95">
      <c r="A32" s="120" t="inlineStr">
        <is>
          <t>C24</t>
        </is>
      </c>
      <c r="B32" s="127" t="n"/>
      <c r="C32" s="127" t="n"/>
      <c r="D32" s="127" t="n"/>
      <c r="E32" s="127" t="n"/>
      <c r="F32" s="126" t="n"/>
      <c r="G32" s="126" t="n"/>
      <c r="H32" s="126" t="n"/>
      <c r="I32" s="125" t="n"/>
      <c r="J32" s="127" t="n"/>
      <c r="K32" s="127" t="n"/>
      <c r="L32" s="127" t="n"/>
      <c r="M32" s="129">
        <f>IF($L32&lt;&gt;"TAK",0,IF($J32="NIEPOLICZONE",0,IFERROR(ROUND(IF($F32="",$G32,$F32)*(IF($I32="",IF($E32="GOTÓWKA",1,0),$I32)),2),0)))</f>
        <v/>
      </c>
      <c r="N32" s="140">
        <f>IF($L32&lt;&gt;"TAK",0,IF($J32="NIEPOLICZONE",0,IFERROR(ROUND(IF($G32="",$G32,$G32)*(IF($I32="",IF($E32="GOTÓWKA",1,0),$I32)),2),0)))</f>
        <v/>
      </c>
      <c r="O32" s="129">
        <f>IF($L32&lt;&gt;"TAK",0,IF($J32="NIEPOLICZONE",0,IFERROR(ROUND(IF($H32="",$G32,$H32)*(IF($I32="",IF($E32="GOTÓWKA",1,0),$I32)),2),0)))</f>
        <v/>
      </c>
      <c r="P32" s="127" t="n"/>
    </row>
    <row r="33" ht="18" customHeight="1" s="95">
      <c r="A33" s="120" t="inlineStr">
        <is>
          <t>C25</t>
        </is>
      </c>
      <c r="B33" s="127" t="n"/>
      <c r="C33" s="127" t="n"/>
      <c r="D33" s="127" t="n"/>
      <c r="E33" s="127" t="n"/>
      <c r="F33" s="126" t="n"/>
      <c r="G33" s="126" t="n"/>
      <c r="H33" s="126" t="n"/>
      <c r="I33" s="125" t="n"/>
      <c r="J33" s="127" t="n"/>
      <c r="K33" s="127" t="n"/>
      <c r="L33" s="127" t="n"/>
      <c r="M33" s="129">
        <f>IF($L33&lt;&gt;"TAK",0,IF($J33="NIEPOLICZONE",0,IFERROR(ROUND(IF($F33="",$G33,$F33)*(IF($I33="",IF($E33="GOTÓWKA",1,0),$I33)),2),0)))</f>
        <v/>
      </c>
      <c r="N33" s="140">
        <f>IF($L33&lt;&gt;"TAK",0,IF($J33="NIEPOLICZONE",0,IFERROR(ROUND(IF($G33="",$G33,$G33)*(IF($I33="",IF($E33="GOTÓWKA",1,0),$I33)),2),0)))</f>
        <v/>
      </c>
      <c r="O33" s="129">
        <f>IF($L33&lt;&gt;"TAK",0,IF($J33="NIEPOLICZONE",0,IFERROR(ROUND(IF($H33="",$G33,$H33)*(IF($I33="",IF($E33="GOTÓWKA",1,0),$I33)),2),0)))</f>
        <v/>
      </c>
      <c r="P33" s="127" t="n"/>
    </row>
    <row r="34" ht="18" customHeight="1" s="95">
      <c r="A34" s="120" t="inlineStr">
        <is>
          <t>C26</t>
        </is>
      </c>
      <c r="B34" s="127" t="n"/>
      <c r="C34" s="127" t="n"/>
      <c r="D34" s="127" t="n"/>
      <c r="E34" s="127" t="n"/>
      <c r="F34" s="126" t="n"/>
      <c r="G34" s="126" t="n"/>
      <c r="H34" s="126" t="n"/>
      <c r="I34" s="125" t="n"/>
      <c r="J34" s="127" t="n"/>
      <c r="K34" s="127" t="n"/>
      <c r="L34" s="127" t="n"/>
      <c r="M34" s="129">
        <f>IF($L34&lt;&gt;"TAK",0,IF($J34="NIEPOLICZONE",0,IFERROR(ROUND(IF($F34="",$G34,$F34)*(IF($I34="",IF($E34="GOTÓWKA",1,0),$I34)),2),0)))</f>
        <v/>
      </c>
      <c r="N34" s="140">
        <f>IF($L34&lt;&gt;"TAK",0,IF($J34="NIEPOLICZONE",0,IFERROR(ROUND(IF($G34="",$G34,$G34)*(IF($I34="",IF($E34="GOTÓWKA",1,0),$I34)),2),0)))</f>
        <v/>
      </c>
      <c r="O34" s="129">
        <f>IF($L34&lt;&gt;"TAK",0,IF($J34="NIEPOLICZONE",0,IFERROR(ROUND(IF($H34="",$G34,$H34)*(IF($I34="",IF($E34="GOTÓWKA",1,0),$I34)),2),0)))</f>
        <v/>
      </c>
      <c r="P34" s="127" t="n"/>
    </row>
    <row r="35" ht="18" customHeight="1" s="95">
      <c r="A35" s="120" t="inlineStr">
        <is>
          <t>C27</t>
        </is>
      </c>
      <c r="B35" s="127" t="n"/>
      <c r="C35" s="127" t="n"/>
      <c r="D35" s="127" t="n"/>
      <c r="E35" s="127" t="n"/>
      <c r="F35" s="126" t="n"/>
      <c r="G35" s="126" t="n"/>
      <c r="H35" s="126" t="n"/>
      <c r="I35" s="125" t="n"/>
      <c r="J35" s="127" t="n"/>
      <c r="K35" s="127" t="n"/>
      <c r="L35" s="127" t="n"/>
      <c r="M35" s="129">
        <f>IF($L35&lt;&gt;"TAK",0,IF($J35="NIEPOLICZONE",0,IFERROR(ROUND(IF($F35="",$G35,$F35)*(IF($I35="",IF($E35="GOTÓWKA",1,0),$I35)),2),0)))</f>
        <v/>
      </c>
      <c r="N35" s="140">
        <f>IF($L35&lt;&gt;"TAK",0,IF($J35="NIEPOLICZONE",0,IFERROR(ROUND(IF($G35="",$G35,$G35)*(IF($I35="",IF($E35="GOTÓWKA",1,0),$I35)),2),0)))</f>
        <v/>
      </c>
      <c r="O35" s="129">
        <f>IF($L35&lt;&gt;"TAK",0,IF($J35="NIEPOLICZONE",0,IFERROR(ROUND(IF($H35="",$G35,$H35)*(IF($I35="",IF($E35="GOTÓWKA",1,0),$I35)),2),0)))</f>
        <v/>
      </c>
      <c r="P35" s="127" t="n"/>
    </row>
    <row r="36" ht="18" customHeight="1" s="95">
      <c r="A36" s="120" t="inlineStr">
        <is>
          <t>C28</t>
        </is>
      </c>
      <c r="B36" s="127" t="n"/>
      <c r="C36" s="127" t="n"/>
      <c r="D36" s="127" t="n"/>
      <c r="E36" s="127" t="n"/>
      <c r="F36" s="126" t="n"/>
      <c r="G36" s="126" t="n"/>
      <c r="H36" s="126" t="n"/>
      <c r="I36" s="125" t="n"/>
      <c r="J36" s="127" t="n"/>
      <c r="K36" s="127" t="n"/>
      <c r="L36" s="127" t="n"/>
      <c r="M36" s="129">
        <f>IF($L36&lt;&gt;"TAK",0,IF($J36="NIEPOLICZONE",0,IFERROR(ROUND(IF($F36="",$G36,$F36)*(IF($I36="",IF($E36="GOTÓWKA",1,0),$I36)),2),0)))</f>
        <v/>
      </c>
      <c r="N36" s="140">
        <f>IF($L36&lt;&gt;"TAK",0,IF($J36="NIEPOLICZONE",0,IFERROR(ROUND(IF($G36="",$G36,$G36)*(IF($I36="",IF($E36="GOTÓWKA",1,0),$I36)),2),0)))</f>
        <v/>
      </c>
      <c r="O36" s="129">
        <f>IF($L36&lt;&gt;"TAK",0,IF($J36="NIEPOLICZONE",0,IFERROR(ROUND(IF($H36="",$G36,$H36)*(IF($I36="",IF($E36="GOTÓWKA",1,0),$I36)),2),0)))</f>
        <v/>
      </c>
      <c r="P36" s="127" t="n"/>
    </row>
    <row r="37" ht="18" customHeight="1" s="95">
      <c r="A37" s="120" t="inlineStr">
        <is>
          <t>C29</t>
        </is>
      </c>
      <c r="B37" s="127" t="n"/>
      <c r="C37" s="127" t="n"/>
      <c r="D37" s="127" t="n"/>
      <c r="E37" s="127" t="n"/>
      <c r="F37" s="126" t="n"/>
      <c r="G37" s="126" t="n"/>
      <c r="H37" s="126" t="n"/>
      <c r="I37" s="125" t="n"/>
      <c r="J37" s="127" t="n"/>
      <c r="K37" s="127" t="n"/>
      <c r="L37" s="127" t="n"/>
      <c r="M37" s="129">
        <f>IF($L37&lt;&gt;"TAK",0,IF($J37="NIEPOLICZONE",0,IFERROR(ROUND(IF($F37="",$G37,$F37)*(IF($I37="",IF($E37="GOTÓWKA",1,0),$I37)),2),0)))</f>
        <v/>
      </c>
      <c r="N37" s="140">
        <f>IF($L37&lt;&gt;"TAK",0,IF($J37="NIEPOLICZONE",0,IFERROR(ROUND(IF($G37="",$G37,$G37)*(IF($I37="",IF($E37="GOTÓWKA",1,0),$I37)),2),0)))</f>
        <v/>
      </c>
      <c r="O37" s="129">
        <f>IF($L37&lt;&gt;"TAK",0,IF($J37="NIEPOLICZONE",0,IFERROR(ROUND(IF($H37="",$G37,$H37)*(IF($I37="",IF($E37="GOTÓWKA",1,0),$I37)),2),0)))</f>
        <v/>
      </c>
      <c r="P37" s="127" t="n"/>
    </row>
    <row r="38" ht="18" customHeight="1" s="95">
      <c r="A38" s="120" t="inlineStr">
        <is>
          <t>C30</t>
        </is>
      </c>
      <c r="B38" s="127" t="n"/>
      <c r="C38" s="127" t="n"/>
      <c r="D38" s="127" t="n"/>
      <c r="E38" s="127" t="n"/>
      <c r="F38" s="126" t="n"/>
      <c r="G38" s="126" t="n"/>
      <c r="H38" s="126" t="n"/>
      <c r="I38" s="125" t="n"/>
      <c r="J38" s="127" t="n"/>
      <c r="K38" s="127" t="n"/>
      <c r="L38" s="127" t="n"/>
      <c r="M38" s="129">
        <f>IF($L38&lt;&gt;"TAK",0,IF($J38="NIEPOLICZONE",0,IFERROR(ROUND(IF($F38="",$G38,$F38)*(IF($I38="",IF($E38="GOTÓWKA",1,0),$I38)),2),0)))</f>
        <v/>
      </c>
      <c r="N38" s="140">
        <f>IF($L38&lt;&gt;"TAK",0,IF($J38="NIEPOLICZONE",0,IFERROR(ROUND(IF($G38="",$G38,$G38)*(IF($I38="",IF($E38="GOTÓWKA",1,0),$I38)),2),0)))</f>
        <v/>
      </c>
      <c r="O38" s="129">
        <f>IF($L38&lt;&gt;"TAK",0,IF($J38="NIEPOLICZONE",0,IFERROR(ROUND(IF($H38="",$G38,$H38)*(IF($I38="",IF($E38="GOTÓWKA",1,0),$I38)),2),0)))</f>
        <v/>
      </c>
      <c r="P38" s="127" t="n"/>
    </row>
  </sheetData>
  <mergeCells count="4">
    <mergeCell ref="A4:H4"/>
    <mergeCell ref="A3:H3"/>
    <mergeCell ref="A2:H2"/>
    <mergeCell ref="A5:H5"/>
  </mergeCells>
  <dataValidations count="7">
    <dataValidation sqref="B9:B38" showDropDown="0" showInputMessage="0" showErrorMessage="0" allowBlank="1" errorTitle="Wartość spoza listy" error="Wybierz wartość z listy." type="list" errorStyle="stop" operator="between">
      <formula1>'LISTY POMOCNICZE'!$L$8:$L$15</formula1>
      <formula2>0</formula2>
    </dataValidation>
    <dataValidation sqref="C9:C38" showDropDown="0" showInputMessage="0" showErrorMessage="0" allowBlank="1" errorTitle="Wartość spoza listy" error="Wybierz wartość z listy." type="list" errorStyle="stop" operator="between">
      <formula1>'LISTY POMOCNICZE'!$T$8:$T$16</formula1>
      <formula2>0</formula2>
    </dataValidation>
    <dataValidation sqref="J9:J38" showDropDown="0" showInputMessage="0" showErrorMessage="0" allowBlank="1" errorTitle="Wartość spoza listy" error="Wybierz wartość z listy." type="list" errorStyle="stop" operator="between">
      <formula1>'LISTY POMOCNICZE'!$G$8:$G$13</formula1>
      <formula2>0</formula2>
    </dataValidation>
    <dataValidation sqref="L9:L38" showDropDown="0" showInputMessage="0" showErrorMessage="0" allowBlank="1" errorTitle="Wartość spoza listy" error="Wybierz wartość z listy." type="list" errorStyle="stop" operator="between">
      <formula1>'LISTY POMOCNICZE'!$I$8:$I$9</formula1>
      <formula2>0</formula2>
    </dataValidation>
    <dataValidation sqref="E9:E38" showDropDown="0" showInputMessage="0" showErrorMessage="0" allowBlank="1" errorTitle="Wartość spoza listy" error="Dozwolone: GOTÓWKA albo WARUNKOWA." type="list" errorStyle="stop" operator="between">
      <formula1>"GOTÓWKA,WARUNKOWA"</formula1>
      <formula2>0</formula2>
    </dataValidation>
    <dataValidation sqref="F9:H38" showDropDown="0" showInputMessage="0" showErrorMessage="0" allowBlank="1" errorTitle="Wartość nieprawidłowa" error="Podaj liczbę nie mniejszą niż 0." type="decimal" errorStyle="stop" operator="greaterThanOrEqual">
      <formula1>0</formula1>
      <formula2>0</formula2>
    </dataValidation>
    <dataValidation sqref="I9:I38" showDropDown="0" showInputMessage="0" showErrorMessage="0" allowBlank="1" errorTitle="Procent poza zakresem" error="Prawdopodobieństwo od 0% do 100%." type="decimal" errorStyle="stop" operator="between">
      <formula1>0</formula1>
      <formula2>1</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NexaIT</dc:creator>
  <dc:title xmlns:dc="http://purl.org/dc/elements/1.1/">Kalkulator realnych kosztów przestojów IT</dc:title>
  <dc:description xmlns:dc="http://purl.org/dc/elements/1.1/">Narzędzie NexaIT do szacowania kosztu przestoju infrastruktury IT. Wersja 1.0, metodologia z 31.07.2026. Wynik jest estymacją, nie audytem ani wyceną.</dc:description>
  <dc:subject xmlns:dc="http://purl.org/dc/elements/1.1/">Business Impact Analysis / koszt przestoju IT</dc:subject>
  <dc:language xmlns:dc="http://purl.org/dc/elements/1.1/">en-US</dc:language>
  <dcterms:created xmlns:dcterms="http://purl.org/dc/terms/" xmlns:xsi="http://www.w3.org/2001/XMLSchema-instance" xsi:type="dcterms:W3CDTF">2026-07-31T16:35:39Z</dcterms:created>
  <dcterms:modified xmlns:dcterms="http://purl.org/dc/terms/" xmlns:xsi="http://www.w3.org/2001/XMLSchema-instance" xsi:type="dcterms:W3CDTF">2026-09-11T10:54:33Z</dcterms:modified>
  <cp:category>Narzędzie</cp:category>
  <cp:revision>2</cp:revision>
  <cp:keywords>przestój IT BIA ciągłość działania koszt awarii RTO RPO</cp:keywords>
</cp:coreProperties>
</file>